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Cover" sheetId="1" state="visible" r:id="rId3"/>
    <sheet name="README" sheetId="2" state="visible" r:id="rId4"/>
    <sheet name="Exhibit 1" sheetId="3" state="visible" r:id="rId5"/>
    <sheet name="Exhibit 2" sheetId="4" state="visible" r:id="rId6"/>
    <sheet name="Exhibit 3" sheetId="5" state="visible" r:id="rId7"/>
    <sheet name="Exhibit 4" sheetId="6" state="visible" r:id="rId8"/>
    <sheet name="Exhibit 5" sheetId="7" state="visible" r:id="rId9"/>
    <sheet name="Exhibit 6" sheetId="8" state="visible" r:id="rId10"/>
    <sheet name="Exhibit 7" sheetId="9" state="visible" r:id="rId11"/>
    <sheet name="Exhibit 8" sheetId="10" state="visible" r:id="rId12"/>
    <sheet name="Exhibit 9" sheetId="11" state="visible" r:id="rId13"/>
    <sheet name="Exhibit 10" sheetId="12" state="visible" r:id="rId14"/>
    <sheet name="Checks" sheetId="13" state="visible" r:id="rId15"/>
  </sheets>
  <definedNames>
    <definedName function="false" hidden="false" localSheetId="12" name="_xlnm.Print_Area" vbProcedure="false">Checks!$A$1:$H$54</definedName>
    <definedName function="false" hidden="false" localSheetId="0" name="_xlnm.Print_Area" vbProcedure="false">Cover!$A$1:$C$24</definedName>
    <definedName function="false" hidden="false" localSheetId="2" name="_xlnm.Print_Area" vbProcedure="false">'Exhibit 1'!$A$1:$J$48</definedName>
    <definedName function="false" hidden="false" localSheetId="2" name="_xlnm.Print_Titles" vbProcedure="false">'Exhibit 1'!$1:$5</definedName>
    <definedName function="false" hidden="false" localSheetId="11" name="_xlnm.Print_Area" vbProcedure="false">'Exhibit 10'!$A$1:$K$19</definedName>
    <definedName function="false" hidden="false" localSheetId="11" name="_xlnm.Print_Titles" vbProcedure="false">'Exhibit 10'!$1:$5</definedName>
    <definedName function="false" hidden="false" localSheetId="3" name="_xlnm.Print_Area" vbProcedure="false">'Exhibit 2'!$A$1:$N$17</definedName>
    <definedName function="false" hidden="false" localSheetId="3" name="_xlnm.Print_Titles" vbProcedure="false">'Exhibit 2'!$1:$5</definedName>
    <definedName function="false" hidden="false" localSheetId="4" name="_xlnm.Print_Area" vbProcedure="false">'Exhibit 3'!$A$1:$F$26</definedName>
    <definedName function="false" hidden="false" localSheetId="4" name="_xlnm.Print_Titles" vbProcedure="false">'Exhibit 3'!$1:$5</definedName>
    <definedName function="false" hidden="false" localSheetId="5" name="_xlnm.Print_Area" vbProcedure="false">'Exhibit 4'!$A$1:$AI$40</definedName>
    <definedName function="false" hidden="false" localSheetId="5" name="_xlnm.Print_Titles" vbProcedure="false">'Exhibit 4'!$1:$5</definedName>
    <definedName function="false" hidden="false" localSheetId="6" name="_xlnm.Print_Area" vbProcedure="false">'Exhibit 5'!$A$1:$G$60</definedName>
    <definedName function="false" hidden="false" localSheetId="6" name="_xlnm.Print_Titles" vbProcedure="false">'Exhibit 5'!$1:$5</definedName>
    <definedName function="false" hidden="false" localSheetId="7" name="_xlnm.Print_Area" vbProcedure="false">'Exhibit 6'!$A$1:$E$51</definedName>
    <definedName function="false" hidden="false" localSheetId="7" name="_xlnm.Print_Titles" vbProcedure="false">'Exhibit 6'!$1:$5</definedName>
    <definedName function="false" hidden="false" localSheetId="8" name="_xlnm.Print_Area" vbProcedure="false">'Exhibit 7'!$A$1:$E$44</definedName>
    <definedName function="false" hidden="false" localSheetId="8" name="_xlnm.Print_Titles" vbProcedure="false">'Exhibit 7'!$1:$5</definedName>
    <definedName function="false" hidden="false" localSheetId="9" name="_xlnm.Print_Area" vbProcedure="false">'Exhibit 8'!$A$1:$I$12</definedName>
    <definedName function="false" hidden="false" localSheetId="9" name="_xlnm.Print_Titles" vbProcedure="false">'Exhibit 8'!$1:$5</definedName>
    <definedName function="false" hidden="false" localSheetId="10" name="_xlnm.Print_Area" vbProcedure="false">'Exhibit 9'!$A$1:$E$39</definedName>
    <definedName function="false" hidden="false" localSheetId="10" name="_xlnm.Print_Titles" vbProcedure="false">'Exhibit 9'!$1:$5</definedName>
    <definedName function="false" hidden="false" localSheetId="1" name="_xlnm.Print_Area" vbProcedure="false">README!$A$1:$C$34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<sst xmlns="http://schemas.openxmlformats.org/spreadsheetml/2006/main" count="1058" uniqueCount="684">
  <si>
    <t xml:space="preserve">Brightline Florida: new money in the 2026 restructuring</t>
  </si>
  <si>
    <t xml:space="preserve">Exhibit data book · v1 · as of 9 Oct 2026</t>
  </si>
  <si>
    <t xml:space="preserve">Case</t>
  </si>
  <si>
    <t xml:space="preserve">Brightline Florida: $50M of the new Pari Passu OpCo Exit Notes in the 2026 restructuring</t>
  </si>
  <si>
    <t xml:space="preserve">Category / level</t>
  </si>
  <si>
    <t xml:space="preserve">Infrastructure · Advanced</t>
  </si>
  <si>
    <t xml:space="preserve">Borrower</t>
  </si>
  <si>
    <t xml:space="preserve">Brightline Trains Florida LLC (OpCo), operator of the Miami–Orlando passenger railroad; discloses through EMMA (municipal continuing disclosure)</t>
  </si>
  <si>
    <t xml:space="preserve">Data as of</t>
  </si>
  <si>
    <t xml:space="preserve">Disclosures through the EMMA RSA notice of 29 Sep 2026; prices to 6 Oct 2026; base rates 9 Oct 2026; case date 12 Oct 2026</t>
  </si>
  <si>
    <t xml:space="preserve">Version</t>
  </si>
  <si>
    <t xml:space="preserve">v1 (12 Oct 2026) · uncalibrated</t>
  </si>
  <si>
    <t xml:space="preserve">Use</t>
  </si>
  <si>
    <t xml:space="preserve">Practice use only · built from public information</t>
  </si>
  <si>
    <t xml:space="preserve">Master check</t>
  </si>
  <si>
    <t xml:space="preserve">Tab map</t>
  </si>
  <si>
    <t xml:space="preserve">README</t>
  </si>
  <si>
    <t xml:space="preserve">Conventions, definitions, sources</t>
  </si>
  <si>
    <t xml:space="preserve">Exhibit 1</t>
  </si>
  <si>
    <t xml:space="preserve">Operating history: riders and revenue (monthly reports) and audited OpCo statements, FY23A–LTM Jun-26</t>
  </si>
  <si>
    <t xml:space="preserve">Exhibit 2</t>
  </si>
  <si>
    <t xml:space="preserve">Quarterly riders and revenue, Q1-24 to Q2-26 (derived)</t>
  </si>
  <si>
    <t xml:space="preserve">Exhibit 3</t>
  </si>
  <si>
    <t xml:space="preserve">Monthly-report data points behind the quarters</t>
  </si>
  <si>
    <t xml:space="preserve">Exhibit 4</t>
  </si>
  <si>
    <t xml:space="preserve">Concession base case: 2024 official statement projections (three ramp-up scenarios)</t>
  </si>
  <si>
    <t xml:space="preserve">Exhibit 5</t>
  </si>
  <si>
    <t xml:space="preserve">Capital structure, exit financing, sources and uses</t>
  </si>
  <si>
    <t xml:space="preserve">Exhibit 6</t>
  </si>
  <si>
    <t xml:space="preserve">RSA numeric terms</t>
  </si>
  <si>
    <t xml:space="preserve">Exhibit 7</t>
  </si>
  <si>
    <t xml:space="preserve">Pricing comps: base rates, OpCo's traded bonds, deal comps, private credit premium</t>
  </si>
  <si>
    <t xml:space="preserve">Exhibit 8</t>
  </si>
  <si>
    <t xml:space="preserve">Precedent: weakest periods since Orlando opened</t>
  </si>
  <si>
    <t xml:space="preserve">Exhibit 9</t>
  </si>
  <si>
    <t xml:space="preserve">Reserves, liquidity and timeline</t>
  </si>
  <si>
    <t xml:space="preserve">Exhibit 10</t>
  </si>
  <si>
    <t xml:space="preserve">Monthly riders and revenue, Jan–Jul 2025 and 2026</t>
  </si>
  <si>
    <t xml:space="preserve">Checks</t>
  </si>
  <si>
    <t xml:space="preserve">Internal and filed-data ties; feeds the master check</t>
  </si>
  <si>
    <t xml:space="preserve">README: conventions, definitions and sources</t>
  </si>
  <si>
    <t xml:space="preserve">Read before using the exhibits</t>
  </si>
  <si>
    <t xml:space="preserve">Purpose</t>
  </si>
  <si>
    <t xml:space="preserve">The data book behind the case packet. Exhibit numbers match the packet. It holds data only: no stress results, recoveries, sizing answers or recommendation.</t>
  </si>
  <si>
    <t xml:space="preserve">Colour code</t>
  </si>
  <si>
    <t xml:space="preserve">Blue font = hard-coded input from a cited source; black = formula; green = link to another tab. Yellow fill (FFF9E6) is reserved for cells a candidate fills in (none in this data book).</t>
  </si>
  <si>
    <t xml:space="preserve">Units</t>
  </si>
  <si>
    <t xml:space="preserve">Each tab states its units in row 2 and column C. $M = millions of US dollars (audited figures entered to the $000 and shown to one decimal). Riders = passenger trips. Prices per 100 of par.</t>
  </si>
  <si>
    <t xml:space="preserve">Sign convention</t>
  </si>
  <si>
    <t xml:space="preserve">Revenue, EBITDA and cash flow positive. Operating costs, capex and debt service are stored as positive numbers and subtracted in formulas (rows marked (−)). In the audited cash flow rows, uses of cash are negative. Negative results show in parentheses.</t>
  </si>
  <si>
    <t xml:space="preserve">Periods</t>
  </si>
  <si>
    <t xml:space="preserve">FY = fiscal year ending 31 Dec; A = actual; E = projected (official statement). 6M = six months to 30 Jun. LTM Jun-26 = FY2025 + 6M Jun-26 − 6M Jun-25, built as a formula. Quarters are derived from reported year-to-date figures and flagged.</t>
  </si>
  <si>
    <t xml:space="preserve">Two revenue bases</t>
  </si>
  <si>
    <t xml:space="preserve">Monthly reports (Exhibit 1 section A, Exhibits 2, 3, 8, 10) round to $0.1M and group food and beverage, ancillary and other revenue as 'ancillary'. Audited statements (Exhibit 1 section B) are to the $000. FY totals agree (Checks).</t>
  </si>
  <si>
    <t xml:space="preserve">EBITDA</t>
  </si>
  <si>
    <t xml:space="preserve">Not reported by OpCo. Two IC Simulator calculations from audited lines: train-level EBITDA = total revenue − train operating costs before depreciation (closest to the official statement's 'revenue less O&amp;M'); EBITDA after corporate costs = operating loss + depreciation and amortization. Neither is the RSA's FCCR definition, which is not yet public.</t>
  </si>
  <si>
    <t xml:space="preserve">FCCR</t>
  </si>
  <si>
    <t xml:space="preserve">Fixed charge coverage ratio, the cash-pay test in the RSA exit notes. The RSA says only that fixed charges include interest on the Pari Passu notes and exclude the Junior notes; the full definition will be in the definitive documents.</t>
  </si>
  <si>
    <t xml:space="preserve">CFADS, DSCR, LLCR</t>
  </si>
  <si>
    <t xml:space="preserve">As defined in the official statement: CFADS = cash flow available for OpCo debt service; DSCR = CFADS ÷ net OpCo debt service. LLCR (loan life coverage ratio) is not published.</t>
  </si>
  <si>
    <t xml:space="preserve">Base rate</t>
  </si>
  <si>
    <t xml:space="preserve">1M CME Term SOFR 3.92490% on 9 Oct 2026 (CME data via global-rates.com, fetched 11 Oct 2026). Used only for the Citizens facility (SOFR + 2.00%); every other OpCo instrument is fixed-rate or PIK.</t>
  </si>
  <si>
    <t xml:space="preserve">Tolerance</t>
  </si>
  <si>
    <t xml:space="preserve">Internal arithmetic ties to 0. Ties to filed figures pass within ±0.5 × the reported unit per filed figure summed.</t>
  </si>
  <si>
    <t xml:space="preserve">Layout</t>
  </si>
  <si>
    <t xml:space="preserve">Column B = label, column C = units, data from column D; period-end dates in row 3 on period exhibits; source / note in the last column. Each exhibit states its basis under the header. n/d cells are left blank and flagged in the note column.</t>
  </si>
  <si>
    <t xml:space="preserve">HYPOTHETICAL</t>
  </si>
  <si>
    <t xml:space="preserve">The $50M allocation, the reader's fund (Halyard Point Credit) and the analyst role are hypothetical. Every other figure is from the cited public sources. Illustrative assumptions are labelled ASSUMPTION B1–B2 (Exhibit 5).</t>
  </si>
  <si>
    <t xml:space="preserve">Source label</t>
  </si>
  <si>
    <t xml:space="preserve">Municipal continuing disclosure (EMMA) and the issuer's investor-relations reports; not SEC filings. OpCo is a private company.</t>
  </si>
  <si>
    <t xml:space="preserve">Sources</t>
  </si>
  <si>
    <t xml:space="preserve">E1</t>
  </si>
  <si>
    <t xml:space="preserve">FDFC Revenue Bonds (Brightline Florida Passenger Rail Project), Brightline Trains Florida LLC Issue, Series 2024, official statement dated 25 Apr 2024 (also on EMMA): https://fmsbonds-wpoffload.s3.amazonaws.com/PROD/wp-content/uploads/2024/04/08093328/340618DV6-1.pdf</t>
  </si>
  <si>
    <t xml:space="preserve">E2</t>
  </si>
  <si>
    <t xml:space="preserve">EMMA event notice, Amended and Restated Restructuring Support Agreement and Restructuring Term Sheet, 29 Sep 2026: https://emma.msrb.org/P11980897-P11510528-P11964807.pdf</t>
  </si>
  <si>
    <t xml:space="preserve">E3</t>
  </si>
  <si>
    <t xml:space="preserve">Brightline Florida monthly revenue and ridership reports: 2025 (May–Dec) https://www.gobrightline.com/content/dam/brightline/pdfs/investor-relations/2025/brightline-florida-&lt;month&gt;-2025-revenue-and-ridership-report.pdf ; 2026 (Jan–Jul) https://www.gobrightline.com/content/dam/brightline/pdfs/investor-relations/2026/brightline-florida-&lt;month&gt;-2026-ridership-report.pdf (fetched 11–12 Oct 2026)</t>
  </si>
  <si>
    <t xml:space="preserve">E4</t>
  </si>
  <si>
    <t xml:space="preserve">Brightline Florida April 2025 revenue and ridership report (EMMA): https://emma.msrb.org/P11864012.pdf</t>
  </si>
  <si>
    <t xml:space="preserve">E5</t>
  </si>
  <si>
    <t xml:space="preserve">Brightline Florida December 2025 ridership report (EMMA, 16 Jan 2026): https://emma.msrb.org/P11915919-P11463447-P11912277.pdf</t>
  </si>
  <si>
    <t xml:space="preserve">E6</t>
  </si>
  <si>
    <t xml:space="preserve">Brightline Trains Florida LLC audited financial statements FY2024 and FY2023 (EMMA): https://emma.msrb.org/P21927297-P21473236-P21923335.pdf</t>
  </si>
  <si>
    <t xml:space="preserve">E7</t>
  </si>
  <si>
    <t xml:space="preserve">Brightline Trains Florida LLC audited financial statements FY2025 and FY2024 (Ernst &amp; Young; issued 30 Apr 2026), copy published by Trains.com: https://www.trains.com/wp-content/uploads/2026/05/TRN_Brightline_financial_report.pdf (read from the CBS12 mirror https://cbs12.com/resources/pdf/92983223-c816-41de-93f8-e0cad64e3d5b-TRN_Brightline_financial_report.pdf) · EMMA copy not located</t>
  </si>
  <si>
    <t xml:space="preserve">E8</t>
  </si>
  <si>
    <t xml:space="preserve">EMMA company update, 14 Jan 2026 (debt service reserve used for the 1 Jan 2026 interest): https://emma.msrb.org/P11914501-P11462504-P11911252.pdf</t>
  </si>
  <si>
    <t xml:space="preserve">E9</t>
  </si>
  <si>
    <t xml:space="preserve">Bond Buyer, 'Brightline Florida bonds drop despite no-haircut restructuring', 7 Oct 2026: https://www.bondbuyer.com/news/brightline-florida-bonds-drop-despite-no-haircut-restructuring</t>
  </si>
  <si>
    <t xml:space="preserve">E10</t>
  </si>
  <si>
    <t xml:space="preserve">Bondoro, 'Case Summary: Brightline Chapter 11', 28 Sep 2026 (secondary; cross-check only): https://bondoro.com/brightline/</t>
  </si>
  <si>
    <t xml:space="preserve">E11</t>
  </si>
  <si>
    <t xml:space="preserve">CME Term SOFR via https://www.global-rates.com/en/interest-rates/cme-term-sofr/ (9 Oct 2026)</t>
  </si>
  <si>
    <t xml:space="preserve">E12</t>
  </si>
  <si>
    <t xml:space="preserve">FOMC statement, 16 Sep 2026: https://www.federalreserve.gov/newsevents/pressreleases/monetary20260916a.htm</t>
  </si>
  <si>
    <t xml:space="preserve">E13</t>
  </si>
  <si>
    <t xml:space="preserve">Portage Point Partners, Q2 2026 Credit Market Update (Jul 2026), p.8, citing PitchBook LCD data as of 30 Jun 2026: https://portagepointpartners.com/wp-content/uploads/2026/08/Q2-Credit-Market-Update-July-2026.pdf</t>
  </si>
  <si>
    <t xml:space="preserve">E14</t>
  </si>
  <si>
    <t xml:space="preserve">Stretto case docket, FIHPNP LLC et al. (Bankr. D.N.J.): https://cases.stretto.com/brightline</t>
  </si>
  <si>
    <t xml:space="preserve">E15</t>
  </si>
  <si>
    <t xml:space="preserve">Captables, 'Brightline gets $190M of interim bankruptcy financing', 7 Oct 2026 (secondary): https://captables.com/articles/brightline-190m-interim-bankruptcy-financing</t>
  </si>
  <si>
    <t xml:space="preserve">Exhibit 1: Operating history, Brightline Trains Florida LLC (OpCo)</t>
  </si>
  <si>
    <t xml:space="preserve">($ in millions unless stated; fiscal years ending December 31; riders in passengers)</t>
  </si>
  <si>
    <t xml:space="preserve">Period end date</t>
  </si>
  <si>
    <t xml:space="preserve">date</t>
  </si>
  <si>
    <t xml:space="preserve">FY23A</t>
  </si>
  <si>
    <t xml:space="preserve">FY24A</t>
  </si>
  <si>
    <t xml:space="preserve">FY25A</t>
  </si>
  <si>
    <t xml:space="preserve">6M Jun-25</t>
  </si>
  <si>
    <t xml:space="preserve">6M Jun-26</t>
  </si>
  <si>
    <t xml:space="preserve">LTM Jun-26</t>
  </si>
  <si>
    <t xml:space="preserve">Source / note</t>
  </si>
  <si>
    <t xml:space="preserve">Basis: section A as reported in OpCo's monthly ridership and revenue reports; section B as reported in OpCo's audited financial statements. LTM Jun-26 = FY25A + 6M Jun-26 − 6M Jun-25 (formula).</t>
  </si>
  <si>
    <t xml:space="preserve">Cells left blank are not disclosed (n/d) for that period; the flag is in the note column. Orlando service opened 22 Sep 2023, so FY23A has about one quarter of Orlando operations.</t>
  </si>
  <si>
    <t xml:space="preserve">A. Ridership and revenue (monthly report basis)</t>
  </si>
  <si>
    <t xml:space="preserve">Short-distance riders (South Florida trips)</t>
  </si>
  <si>
    <t xml:space="preserve">riders</t>
  </si>
  <si>
    <t xml:space="preserve">Dec-2025 report (FY24A, FY25A); Jun-2026 report (6M) [E3,E5]. FY23A split n/d</t>
  </si>
  <si>
    <t xml:space="preserve">Long-distance riders (to or from Orlando)</t>
  </si>
  <si>
    <t xml:space="preserve">As above. FY23A split n/d</t>
  </si>
  <si>
    <t xml:space="preserve">Total riders</t>
  </si>
  <si>
    <t xml:space="preserve">FY23A: 2024 official statement MD&amp;A [E1]; other periods = sum, tied to the reported totals on the Checks tab</t>
  </si>
  <si>
    <t xml:space="preserve">Ticket revenue, short distance</t>
  </si>
  <si>
    <t xml:space="preserve">$M</t>
  </si>
  <si>
    <t xml:space="preserve">Monthly reports, rounded to $0.1M</t>
  </si>
  <si>
    <t xml:space="preserve">Ticket revenue, long distance</t>
  </si>
  <si>
    <t xml:space="preserve">Ticket revenue, total (monthly-report basis)</t>
  </si>
  <si>
    <t xml:space="preserve">Formula</t>
  </si>
  <si>
    <t xml:space="preserve">Ancillary and other revenue (report basis)</t>
  </si>
  <si>
    <t xml:space="preserve">Includes food and beverage, parking, bags and other revenue</t>
  </si>
  <si>
    <t xml:space="preserve">Total revenue (report basis)</t>
  </si>
  <si>
    <t xml:space="preserve">Sum; tied to reported totals ($187.9M, $214.0M, $105.9M, $124.0M) on the Checks tab</t>
  </si>
  <si>
    <t xml:space="preserve">Average fare (ticket revenue ÷ riders), reported</t>
  </si>
  <si>
    <t xml:space="preserve">$</t>
  </si>
  <si>
    <t xml:space="preserve">As reported (FY23A from the official statement). LTM n/a: use the recomputed row</t>
  </si>
  <si>
    <t xml:space="preserve">Average fare, recomputed</t>
  </si>
  <si>
    <t xml:space="preserve">Formula; differs from the reported fare only through $0.1M rounding of ticket revenue</t>
  </si>
  <si>
    <t xml:space="preserve">Total revenue per rider</t>
  </si>
  <si>
    <t xml:space="preserve">B. Audited statements of operations and cash flow (OpCo; 6M and LTM not disclosed)</t>
  </si>
  <si>
    <t xml:space="preserve">Passenger ticket revenue</t>
  </si>
  <si>
    <t xml:space="preserve">Audited FS revenue note [E6,E7]</t>
  </si>
  <si>
    <t xml:space="preserve">Passenger food and beverage revenue</t>
  </si>
  <si>
    <t xml:space="preserve">Ancillary passenger revenue</t>
  </si>
  <si>
    <t xml:space="preserve">Other revenue (affiliate, sponsorship, grants, other)</t>
  </si>
  <si>
    <t xml:space="preserve">FY25A includes $6.977M of affiliate revenue</t>
  </si>
  <si>
    <t xml:space="preserve">Total revenue</t>
  </si>
  <si>
    <t xml:space="preserve">Sum; tied to audited totals ($87.662M, $187.941M, $214.043M) on the Checks tab</t>
  </si>
  <si>
    <t xml:space="preserve">(−) Labor</t>
  </si>
  <si>
    <t xml:space="preserve">Stored positive, subtracted in formulas</t>
  </si>
  <si>
    <t xml:space="preserve">(−) Maintenance of way</t>
  </si>
  <si>
    <t xml:space="preserve">(−) Maintenance of equipment</t>
  </si>
  <si>
    <t xml:space="preserve">(−) Fuel</t>
  </si>
  <si>
    <t xml:space="preserve">(−) Facilities and other operating expenses</t>
  </si>
  <si>
    <t xml:space="preserve">Train operating costs before depreciation</t>
  </si>
  <si>
    <t xml:space="preserve">Train-level EBITDA (revenue − train operating costs)</t>
  </si>
  <si>
    <t xml:space="preserve">IC Simulator calculation; closest audited match to the official statement's EBITDA definition (revenue less O&amp;M)</t>
  </si>
  <si>
    <t xml:space="preserve">(−) Corporate, general and administrative</t>
  </si>
  <si>
    <t xml:space="preserve">Includes management-agreement costs and share-based compensation (amount n/d)</t>
  </si>
  <si>
    <t xml:space="preserve">(−) Expansion</t>
  </si>
  <si>
    <t xml:space="preserve">EBITDA after corporate costs (operating loss + D&amp;A)</t>
  </si>
  <si>
    <t xml:space="preserve">IC Simulator calculation; not a covenant definition</t>
  </si>
  <si>
    <t xml:space="preserve">(−) Depreciation and amortization</t>
  </si>
  <si>
    <t xml:space="preserve">Operating loss</t>
  </si>
  <si>
    <t xml:space="preserve">Tied to audited operating loss on the Checks tab</t>
  </si>
  <si>
    <t xml:space="preserve">(−) Interest, net</t>
  </si>
  <si>
    <t xml:space="preserve">(−) Other (income) expense</t>
  </si>
  <si>
    <t xml:space="preserve">Negative = income</t>
  </si>
  <si>
    <t xml:space="preserve">(−) Loss on extinguishment of debt</t>
  </si>
  <si>
    <t xml:space="preserve">FY24A: May 2024 refinancing</t>
  </si>
  <si>
    <t xml:space="preserve">Net loss</t>
  </si>
  <si>
    <t xml:space="preserve">Tied to audited net loss on the Checks tab</t>
  </si>
  <si>
    <t xml:space="preserve">Net cash used in operating activities</t>
  </si>
  <si>
    <t xml:space="preserve">Audited cash flow statements</t>
  </si>
  <si>
    <t xml:space="preserve">Net cash used in investing activities</t>
  </si>
  <si>
    <t xml:space="preserve">Net cash provided by financing activities</t>
  </si>
  <si>
    <t xml:space="preserve">Cash paid for interest (excluding capitalised interest)</t>
  </si>
  <si>
    <t xml:space="preserve">Supplemental cash flow disclosure</t>
  </si>
  <si>
    <t xml:space="preserve">Cash, cash equivalents and restricted cash at year end</t>
  </si>
  <si>
    <t xml:space="preserve">Total debt principal at year end</t>
  </si>
  <si>
    <t xml:space="preserve">Debt note; FY25A = Series 2024 bonds + $45.0M revolver</t>
  </si>
  <si>
    <t xml:space="preserve">Source: Brightline Trains Florida LLC monthly ridership and revenue reports [E3–E5]; 2024 official statement [E1]; audited financial statements FY2024 (with FY2023) and FY2025 [E6,E7]; IC Simulator layout.</t>
  </si>
  <si>
    <t xml:space="preserve">Exhibit 2: Quarterly riders and revenue, Q1-24 to Q2-26 (10 quarters)</t>
  </si>
  <si>
    <t xml:space="preserve">(riders in passengers; revenue in $M; quarters of fiscal years ending December 31)</t>
  </si>
  <si>
    <t xml:space="preserve">Quarter end date</t>
  </si>
  <si>
    <t xml:space="preserve">Q1-24</t>
  </si>
  <si>
    <t xml:space="preserve">Q2-24</t>
  </si>
  <si>
    <t xml:space="preserve">Q3-24</t>
  </si>
  <si>
    <t xml:space="preserve">Q4-24</t>
  </si>
  <si>
    <t xml:space="preserve">Q1-25</t>
  </si>
  <si>
    <t xml:space="preserve">Q2-25</t>
  </si>
  <si>
    <t xml:space="preserve">Q3-25</t>
  </si>
  <si>
    <t xml:space="preserve">Q4-25</t>
  </si>
  <si>
    <t xml:space="preserve">Q1-26</t>
  </si>
  <si>
    <t xml:space="preserve">Q2-26</t>
  </si>
  <si>
    <t xml:space="preserve">Basis: derived from the reported YTD data points in Exhibit 3 (OpCo publishes monthly, not quarterly). Every quarter is a difference of two reported cumulative figures: all ten are flagged 'derived'.</t>
  </si>
  <si>
    <t xml:space="preserve">Cumulative riders, year to date at quarter end</t>
  </si>
  <si>
    <t xml:space="preserve">Links to Exhibit 3; Q1-24 = YTD Apr-24 − Apr-24</t>
  </si>
  <si>
    <t xml:space="preserve">Cumulative revenue, year to date at quarter end</t>
  </si>
  <si>
    <t xml:space="preserve">As above</t>
  </si>
  <si>
    <t xml:space="preserve">Riders in the quarter</t>
  </si>
  <si>
    <t xml:space="preserve">Derived: YTD at quarter end − YTD at prior quarter end</t>
  </si>
  <si>
    <t xml:space="preserve">Total revenue in the quarter</t>
  </si>
  <si>
    <t xml:space="preserve">Derived; inherits $0.1M rounding from the reports</t>
  </si>
  <si>
    <t xml:space="preserve">Revenue per rider</t>
  </si>
  <si>
    <t xml:space="preserve">Riders, change year on year</t>
  </si>
  <si>
    <t xml:space="preserve">%</t>
  </si>
  <si>
    <t xml:space="preserve">Revenue, change year on year</t>
  </si>
  <si>
    <t xml:space="preserve">Annualised revenue (quarter × 4)</t>
  </si>
  <si>
    <t xml:space="preserve">Simple run-rate; ignores seasonality (Q1 is the strongest quarter)</t>
  </si>
  <si>
    <t xml:space="preserve">Days in quarter</t>
  </si>
  <si>
    <t xml:space="preserve">days</t>
  </si>
  <si>
    <t xml:space="preserve">Flag: all quarters derived (differences of reported YTD figures); FY totals tie to the reported FY2024 and FY2025 figures on the Checks tab.</t>
  </si>
  <si>
    <t xml:space="preserve">Source: Exhibit 3 data points from Brightline Florida monthly reports [E3–E5]; IC Simulator analysis.</t>
  </si>
  <si>
    <t xml:space="preserve">Exhibit 3: Monthly report data points and the 2026 monthly series</t>
  </si>
  <si>
    <t xml:space="preserve">(riders in passengers; revenue in $M, as rounded in the reports)</t>
  </si>
  <si>
    <t xml:space="preserve">Riders</t>
  </si>
  <si>
    <t xml:space="preserve">Revenue</t>
  </si>
  <si>
    <t xml:space="preserve">Basis: as reported. Each 2025 and 2026 report shows the month and year to date (YTD) for the current and prior year. 'Prior-year column' means the comparative shown in the later report.</t>
  </si>
  <si>
    <t xml:space="preserve">Cumulative and single-month data points used to build the quarters in Exhibit 2</t>
  </si>
  <si>
    <t xml:space="preserve">YTD Apr-24 (Apr-2025 report, prior-year column)</t>
  </si>
  <si>
    <t xml:space="preserve">riders | $M</t>
  </si>
  <si>
    <t xml:space="preserve">EMMA, Apr-2025 report [E4]</t>
  </si>
  <si>
    <t xml:space="preserve">Month of Apr-24 (Apr-2025 report, prior-year column)</t>
  </si>
  <si>
    <t xml:space="preserve">YTD Jun-24 (Jun-2025 report, prior-year column)</t>
  </si>
  <si>
    <t xml:space="preserve">Jun-2025 report p.2 (image PDF, read manually) [E3]</t>
  </si>
  <si>
    <t xml:space="preserve">YTD Sep-24 (Sep-2025 report, prior-year column)</t>
  </si>
  <si>
    <t xml:space="preserve">Sep-2025 report p.2 (image PDF, read manually) [E3]</t>
  </si>
  <si>
    <t xml:space="preserve">FY2024 (Dec-2025 report, prior-year column)</t>
  </si>
  <si>
    <t xml:space="preserve">EMMA, Dec-2025 report [E5]</t>
  </si>
  <si>
    <t xml:space="preserve">YTD Mar-25 (Mar-2026 report, prior-year column)</t>
  </si>
  <si>
    <t xml:space="preserve">Mar-2026 report [E3]</t>
  </si>
  <si>
    <t xml:space="preserve">YTD Jun-25 (Jun-2026 report, prior-year column)</t>
  </si>
  <si>
    <t xml:space="preserve">Jun-2026 report [E3]; same figure in the Jun-2025 report</t>
  </si>
  <si>
    <t xml:space="preserve">YTD Sep-25 (Sep-2025 report)</t>
  </si>
  <si>
    <t xml:space="preserve">Sep-2025 report p.2 [E3]</t>
  </si>
  <si>
    <t xml:space="preserve">YTD Oct-25 (Oct-2025 report)</t>
  </si>
  <si>
    <t xml:space="preserve">Oct-2025 report [E3]</t>
  </si>
  <si>
    <t xml:space="preserve">Month of Oct-25 (Oct-2025 report)</t>
  </si>
  <si>
    <t xml:space="preserve">FY2025 (Dec-2025 report)</t>
  </si>
  <si>
    <t xml:space="preserve">YTD Mar-26 (Mar-2026 report)</t>
  </si>
  <si>
    <t xml:space="preserve">YTD Jun-26 (Jun-2026 report)</t>
  </si>
  <si>
    <t xml:space="preserve">Jun-2026 report [E3]</t>
  </si>
  <si>
    <t xml:space="preserve">YTD Jul-25 (Jul-2026 report, prior-year column)</t>
  </si>
  <si>
    <t xml:space="preserve">Jul-2026 report [E3]</t>
  </si>
  <si>
    <t xml:space="preserve">YTD Jul-26 (Jul-2026 report)</t>
  </si>
  <si>
    <t xml:space="preserve">Trailing 12 months to Jul-26 (FY2025 + YTD Jul-26 − YTD Jul-25)</t>
  </si>
  <si>
    <t xml:space="preserve">Simple annualisation of YTD Jul-26 (× 12 ÷ 7; ignores seasonality)</t>
  </si>
  <si>
    <t xml:space="preserve">Shown because '3.6 million' circulates as an annual figure</t>
  </si>
  <si>
    <t xml:space="preserve">Management declaration: trailing-12-month riders through Jul-26 (as reported, secondary; does not reconcile)</t>
  </si>
  <si>
    <t xml:space="preserve">count</t>
  </si>
  <si>
    <t xml:space="preserve">Captables, 7 Oct 2026 [E15]: FLAG, unverified</t>
  </si>
  <si>
    <t xml:space="preserve">Source: Brightline Florida monthly revenue and ridership reports (gobrightline.com investor relations; Apr-2025 and Dec-2025 reports also filed on EMMA) [E3–E5].</t>
  </si>
  <si>
    <t xml:space="preserve">Exhibit 4: Concession base case: 2024 official statement projections, 2024E–2054E</t>
  </si>
  <si>
    <t xml:space="preserve">($M nominal; passengers in millions; × for coverage) · Project Owner = OpCo</t>
  </si>
  <si>
    <t xml:space="preserve">2024E</t>
  </si>
  <si>
    <t xml:space="preserve">2025E</t>
  </si>
  <si>
    <t xml:space="preserve">2026E</t>
  </si>
  <si>
    <t xml:space="preserve">2027E</t>
  </si>
  <si>
    <t xml:space="preserve">2028E</t>
  </si>
  <si>
    <t xml:space="preserve">2029E</t>
  </si>
  <si>
    <t xml:space="preserve">2030E</t>
  </si>
  <si>
    <t xml:space="preserve">2031E</t>
  </si>
  <si>
    <t xml:space="preserve">2032E</t>
  </si>
  <si>
    <t xml:space="preserve">2033E</t>
  </si>
  <si>
    <t xml:space="preserve">2034E</t>
  </si>
  <si>
    <t xml:space="preserve">2035E</t>
  </si>
  <si>
    <t xml:space="preserve">2036E</t>
  </si>
  <si>
    <t xml:space="preserve">2037E</t>
  </si>
  <si>
    <t xml:space="preserve">2038E</t>
  </si>
  <si>
    <t xml:space="preserve">2039E</t>
  </si>
  <si>
    <t xml:space="preserve">2040E</t>
  </si>
  <si>
    <t xml:space="preserve">2041E</t>
  </si>
  <si>
    <t xml:space="preserve">2042E</t>
  </si>
  <si>
    <t xml:space="preserve">2043E</t>
  </si>
  <si>
    <t xml:space="preserve">2044E</t>
  </si>
  <si>
    <t xml:space="preserve">2045E</t>
  </si>
  <si>
    <t xml:space="preserve">2046E</t>
  </si>
  <si>
    <t xml:space="preserve">2047E</t>
  </si>
  <si>
    <t xml:space="preserve">2048E</t>
  </si>
  <si>
    <t xml:space="preserve">2049E</t>
  </si>
  <si>
    <t xml:space="preserve">2050E</t>
  </si>
  <si>
    <t xml:space="preserve">2051E</t>
  </si>
  <si>
    <t xml:space="preserve">2052E</t>
  </si>
  <si>
    <t xml:space="preserve">2053E</t>
  </si>
  <si>
    <t xml:space="preserve">2054E</t>
  </si>
  <si>
    <t xml:space="preserve">Basis: as published by OpCo in the Series 2024 official statement (25 Apr 2024), 'Projections', pp.113–115, rounded to $1M. Three ramp-up scenarios differ only in 2024E–2026E; from 2027E all three are the same.</t>
  </si>
  <si>
    <t xml:space="preserve">Sign convention: costs, capex and debt service stored positive and subtracted; reserve (funding)/draw stored as published (negative = funding). LLCR is not published (n/d).</t>
  </si>
  <si>
    <t xml:space="preserve">A. Ramp-Up Scenario 2 (the scenario that matches the official statement's '8.0 million passengers and $695 million of ticket revenue by 2026')</t>
  </si>
  <si>
    <t xml:space="preserve">Short-distance passengers</t>
  </si>
  <si>
    <t xml:space="preserve">M</t>
  </si>
  <si>
    <t xml:space="preserve">OS p.114</t>
  </si>
  <si>
    <t xml:space="preserve">Long-distance passengers</t>
  </si>
  <si>
    <t xml:space="preserve">Total passengers (published)</t>
  </si>
  <si>
    <t xml:space="preserve">Published total; may differ from the sum by 0.1 (rounding)</t>
  </si>
  <si>
    <t xml:space="preserve">Total ticket revenue</t>
  </si>
  <si>
    <t xml:space="preserve">Total ancillary revenue</t>
  </si>
  <si>
    <t xml:space="preserve">Total revenue (published)</t>
  </si>
  <si>
    <t xml:space="preserve">Average fare (published)</t>
  </si>
  <si>
    <t xml:space="preserve">Average fare (ticket revenue ÷ passengers), recomputed</t>
  </si>
  <si>
    <t xml:space="preserve">Formula; differs from the published fare because passengers are published to 0.1M</t>
  </si>
  <si>
    <t xml:space="preserve">(−) Operating expenses</t>
  </si>
  <si>
    <t xml:space="preserve">EBITDA (published)</t>
  </si>
  <si>
    <t xml:space="preserve">OS definition: total revenue less O&amp;M expenditures</t>
  </si>
  <si>
    <t xml:space="preserve">(−) Maintenance capex and rolling-stock leases</t>
  </si>
  <si>
    <t xml:space="preserve">Sum of four published lines (rolling stock, infrastructure, station, leases and other)</t>
  </si>
  <si>
    <t xml:space="preserve">Unlevered cash flow (published)</t>
  </si>
  <si>
    <t xml:space="preserve">Reserve (funding) / draw (published)</t>
  </si>
  <si>
    <t xml:space="preserve">Ramp-up, project, debt service, rolling-stock and major-maintenance reserves</t>
  </si>
  <si>
    <t xml:space="preserve">Cash flow available for OpCo debt service (CFADS, published)</t>
  </si>
  <si>
    <t xml:space="preserve">OpCo bond interest (published)</t>
  </si>
  <si>
    <t xml:space="preserve">2024E–2025E prefunded from the funded interest account</t>
  </si>
  <si>
    <t xml:space="preserve">Net OpCo debt service (published)</t>
  </si>
  <si>
    <t xml:space="preserve">Interest plus sinking-fund principal, net of funded interest</t>
  </si>
  <si>
    <t xml:space="preserve">OpCo DSCR (published)</t>
  </si>
  <si>
    <t xml:space="preserve">x</t>
  </si>
  <si>
    <t xml:space="preserve">Published as n/a for 2024E–2025E (debt service prefunded)</t>
  </si>
  <si>
    <t xml:space="preserve">OpCo DSCR (CFADS ÷ net debt service), recomputed</t>
  </si>
  <si>
    <t xml:space="preserve">2054E not meaningful (final $1M of debt service)</t>
  </si>
  <si>
    <t xml:space="preserve">B. Ramp-Up Scenarios 1 and 3, 2024E–2026E (the most and least conservative ramp-ups)</t>
  </si>
  <si>
    <t xml:space="preserve">Scenario 1: total passengers</t>
  </si>
  <si>
    <t xml:space="preserve">OS p.113</t>
  </si>
  <si>
    <t xml:space="preserve">Scenario 1: total ticket revenue</t>
  </si>
  <si>
    <t xml:space="preserve">Scenario 1: total revenue</t>
  </si>
  <si>
    <t xml:space="preserve">Scenario 1: EBITDA</t>
  </si>
  <si>
    <t xml:space="preserve">Scenario 1: CFADS</t>
  </si>
  <si>
    <t xml:space="preserve">Scenario 3: total passengers</t>
  </si>
  <si>
    <t xml:space="preserve">OS p.115</t>
  </si>
  <si>
    <t xml:space="preserve">Scenario 3: total ticket revenue</t>
  </si>
  <si>
    <t xml:space="preserve">Scenario 3: total revenue</t>
  </si>
  <si>
    <t xml:space="preserve">Scenario 3: EBITDA</t>
  </si>
  <si>
    <t xml:space="preserve">Scenario 3: CFADS</t>
  </si>
  <si>
    <t xml:space="preserve">LLCR: not published in the official statement (n/d). Construction budget, contractor security and liquidated damages: not applicable (the line has operated end to end since 22 Sep 2023).</t>
  </si>
  <si>
    <t xml:space="preserve">Ratings at issue (Apr 2024): S&amp;P BBB- (underlying), AA (insured); Fitch BBB- (underlying); Kroll BBB (underlying), AA+ (insured). Fitch: C from 1 Oct 2026 (Exhibit 9).</t>
  </si>
  <si>
    <t xml:space="preserve">Source: FDFC Revenue Bonds (Brightline Florida Passenger Rail Project), Brightline Trains Florida LLC Issue, Series 2024, official statement dated 25 Apr 2024, 'Projections' [E1]; WSP 2022 Ridership and Revenue Study and Feb 2024 supplement (OS Appendix C).</t>
  </si>
  <si>
    <t xml:space="preserve">Exhibit 5: Capital structure: OpCo bonds, other OpCo debt, the exit financing, and debt outside OpCo</t>
  </si>
  <si>
    <t xml:space="preserve">($ in millions unless stated)</t>
  </si>
  <si>
    <t xml:space="preserve">Value</t>
  </si>
  <si>
    <t xml:space="preserve">Rate</t>
  </si>
  <si>
    <t xml:space="preserve">Maturity</t>
  </si>
  <si>
    <t xml:space="preserve">Basis: principal as reported at 31 Dec 2025 (audited) and in the A&amp;R RSA of 29 Sep 2026. Annual interest is coupon × principal (formula). Rate column: fixed coupon unless stated.</t>
  </si>
  <si>
    <t xml:space="preserve">A. OpCo: FDFC Series 2024 bonds (tax-exempt; senior secured; Assured Guaranty insures three term bonds)</t>
  </si>
  <si>
    <t xml:space="preserve">Serial bond 2034</t>
  </si>
  <si>
    <t xml:space="preserve">Audited FS Note 9 [E7]; OS inside cover [E1]</t>
  </si>
  <si>
    <t xml:space="preserve">Serial bond 2035</t>
  </si>
  <si>
    <t xml:space="preserve">Serial bond 2036</t>
  </si>
  <si>
    <t xml:space="preserve">Serial bond 2037</t>
  </si>
  <si>
    <t xml:space="preserve">Serial bond 2038</t>
  </si>
  <si>
    <t xml:space="preserve">Term bond 2041</t>
  </si>
  <si>
    <t xml:space="preserve">Term bond 2047 (uninsured)</t>
  </si>
  <si>
    <t xml:space="preserve">Term bond 2053 (uninsured)</t>
  </si>
  <si>
    <t xml:space="preserve">Term bond 2044 (insured)</t>
  </si>
  <si>
    <t xml:space="preserve">Term bond 2047 (insured)</t>
  </si>
  <si>
    <t xml:space="preserve">Term bond 2053 (insured)</t>
  </si>
  <si>
    <t xml:space="preserve">Total Series 2024 bonds</t>
  </si>
  <si>
    <t xml:space="preserve">Tied to $2,219.280M on the Checks tab</t>
  </si>
  <si>
    <t xml:space="preserve">of which insured by Assured Guaranty</t>
  </si>
  <si>
    <t xml:space="preserve">Tied to the $1,133.44M insured amount in the RSA on the Checks tab</t>
  </si>
  <si>
    <t xml:space="preserve">of which uninsured</t>
  </si>
  <si>
    <t xml:space="preserve">Annual coupon interest on the Series 2024 bonds</t>
  </si>
  <si>
    <t xml:space="preserve">Formula; payable 1 Jan and 1 Jul</t>
  </si>
  <si>
    <t xml:space="preserve">of which on uninsured bonds</t>
  </si>
  <si>
    <t xml:space="preserve">Three semi-annual coupons (maximum Deferred Interest if every holder defers)</t>
  </si>
  <si>
    <t xml:space="preserve">RSA: coupons from the RSA date through 30 Jan 2028 deferred to 1 Jan 2031 by consenting holders [E2]</t>
  </si>
  <si>
    <t xml:space="preserve">B. Other OpCo debt and the exit financing (RSA, 29 Sep 2026)</t>
  </si>
  <si>
    <t xml:space="preserve">Citizens revolving credit facility (drawn)</t>
  </si>
  <si>
    <t xml:space="preserve">Rate column = margin over SOFR. Matured May 2026 after one extension; RSA: parties to seek a further extension [E2,E7]</t>
  </si>
  <si>
    <t xml:space="preserve">Senior Secured Brightline Facility (in-court, refinanced at exit)</t>
  </si>
  <si>
    <t xml:space="preserve">10.0% PIK compounded monthly; 8.0% upfront fee PIK; refinances $104.2M of bridge notes [E2]</t>
  </si>
  <si>
    <t xml:space="preserve">Pari Passu OpCo Exit Notes (new senior)</t>
  </si>
  <si>
    <t xml:space="preserve">8.5% PIK unless FCCR &gt; 1.30x for 12 months; 10 years from closing [E2]</t>
  </si>
  <si>
    <t xml:space="preserve">Junior Exit Notes (new second lien)</t>
  </si>
  <si>
    <t xml:space="preserve">10.0% (8.0% if tax-exempt); PIK in year 1, then PIK unless FCCR &gt; 1.50x; 12 years [E2]</t>
  </si>
  <si>
    <t xml:space="preserve">Backstop fee on the Junior Exit Notes (10.0%, paid in notes and equity)</t>
  </si>
  <si>
    <t xml:space="preserve">Split between notes and New HoldCo equity not disclosed</t>
  </si>
  <si>
    <t xml:space="preserve">Exit financing: total new notes</t>
  </si>
  <si>
    <t xml:space="preserve">C. Debt outside OpCo that depends on OpCo distributions or shares its corridor (stays outstanding under the RSA)</t>
  </si>
  <si>
    <t xml:space="preserve">AAFOH HoldCo bonds, Series 2024 (FDFC, tax-exempt)</t>
  </si>
  <si>
    <t xml:space="preserve">AAF Operations Holdings LLC; parent of the OpCo pledgor [E2,E7]</t>
  </si>
  <si>
    <t xml:space="preserve">AAFOH HoldCo bonds, Series 2024A</t>
  </si>
  <si>
    <t xml:space="preserve">[E2]</t>
  </si>
  <si>
    <t xml:space="preserve">AAFOH junior unrated bonds due 2059 traded (coupon)</t>
  </si>
  <si>
    <t xml:space="preserve">Bond Buyer, 7 Oct 2026 [E9]; which series not stated</t>
  </si>
  <si>
    <t xml:space="preserve">Commuter bonds, Series 2025B (FDFC)</t>
  </si>
  <si>
    <t xml:space="preserve">Brightline Florida Holdings LLC; secured by commuter access rights [E2,E9]</t>
  </si>
  <si>
    <t xml:space="preserve">Brightline East 11.00% senior secured notes due 2030</t>
  </si>
  <si>
    <t xml:space="preserve">Parent-level (Debtor); principal per the RSA notice [E2]</t>
  </si>
  <si>
    <t xml:space="preserve">Total debt outside OpCo listed above</t>
  </si>
  <si>
    <t xml:space="preserve">D. Sources and uses of the exit financing (ILLUSTRATIVE: the payoff amount of the in-court facility at exit is not disclosed)</t>
  </si>
  <si>
    <t xml:space="preserve">ASSUMPTION B1: exit date (latest dates allowed by the RSA milestones, from the 24 Sep 2026 petition)</t>
  </si>
  <si>
    <t xml:space="preserve">Disclosure statement order ≤105 days after the petition; solicitation ≤3 business days later; confirmation ≤45 days after solicitation; effective ≤14 days after confirmation. Assured may extend to 315 days (365 with MFG consent)</t>
  </si>
  <si>
    <t xml:space="preserve">In-court facility upfront fee (8.0%, PIK)</t>
  </si>
  <si>
    <t xml:space="preserve">ASSUMPTION B2: months of PIK interest at 10.0% compounded monthly on the full facility</t>
  </si>
  <si>
    <t xml:space="preserve">months</t>
  </si>
  <si>
    <t xml:space="preserve">Assumes fully drawn at the petition date: an upper bound</t>
  </si>
  <si>
    <t xml:space="preserve">Illustrative payoff of the in-court facility at exit</t>
  </si>
  <si>
    <t xml:space="preserve">General corporate purposes and exit costs (balance)</t>
  </si>
  <si>
    <t xml:space="preserve">Total sources (Pari Passu + Junior Exit Notes)</t>
  </si>
  <si>
    <t xml:space="preserve">Total uses</t>
  </si>
  <si>
    <t xml:space="preserve">E. Pro forma OpCo capitalisation at exit (principal before PIK accretion; ILLUSTRATIVE ordering by lien)</t>
  </si>
  <si>
    <t xml:space="preserve">FY25A train-level EBITDA (Exhibit 1)</t>
  </si>
  <si>
    <t xml:space="preserve">Link; basis stated in Exhibit 1</t>
  </si>
  <si>
    <t xml:space="preserve">Citizens facility</t>
  </si>
  <si>
    <t xml:space="preserve">First lien</t>
  </si>
  <si>
    <t xml:space="preserve">Series 2024 bonds</t>
  </si>
  <si>
    <t xml:space="preserve">Pari Passu OpCo Exit Notes</t>
  </si>
  <si>
    <t xml:space="preserve">First lien, pari passu</t>
  </si>
  <si>
    <t xml:space="preserve">Senior OpCo Debt, cumulative</t>
  </si>
  <si>
    <t xml:space="preserve">Senior OpCo Debt ÷ FY25A train-level EBITDA</t>
  </si>
  <si>
    <t xml:space="preserve">Deferred Interest, maximum (three coupons, due 1 Jan 2031)</t>
  </si>
  <si>
    <t xml:space="preserve">Counts as Senior OpCo Debt (not for voting)</t>
  </si>
  <si>
    <t xml:space="preserve">Senior OpCo Debt including maximum Deferred Interest, cumulative</t>
  </si>
  <si>
    <t xml:space="preserve">… ÷ FY25A train-level EBITDA</t>
  </si>
  <si>
    <t xml:space="preserve">Junior Exit Notes (before the backstop fee in notes)</t>
  </si>
  <si>
    <t xml:space="preserve">Second lien</t>
  </si>
  <si>
    <t xml:space="preserve">Total OpCo debt, cumulative</t>
  </si>
  <si>
    <t xml:space="preserve">Total OpCo debt ÷ FY25A train-level EBITDA</t>
  </si>
  <si>
    <t xml:space="preserve">Source: FDFC Series 2024 official statement [E1]; A&amp;R RSA and Restructuring Term Sheet, EMMA event notice 29 Sep 2026 [E2]; OpCo audited FS FY2025 Note 9 [E7]; Bond Buyer [E9].</t>
  </si>
  <si>
    <t xml:space="preserve">Exhibit 6: Restructuring Support Agreement: numeric terms</t>
  </si>
  <si>
    <t xml:space="preserve">(as stated in the A&amp;R RSA of 29 Sep 2026; $M unless stated)</t>
  </si>
  <si>
    <t xml:space="preserve">Basis: as written in the Restructuring Term Sheet and its exhibits [E2]. The definitive documents (including the FCCR definition) are not yet public. Only the allocation in row 'alloc' is hypothetical.</t>
  </si>
  <si>
    <t xml:space="preserve">A. Pari Passu OpCo Exit Notes (Exhibit C, Part A)</t>
  </si>
  <si>
    <t xml:space="preserve">Amount</t>
  </si>
  <si>
    <t xml:space="preserve">Assured: obligated to insure or buy</t>
  </si>
  <si>
    <t xml:space="preserve">Assured elects purchase or insurance</t>
  </si>
  <si>
    <t xml:space="preserve">Backstopped by the Ad Hoc Mutual Fund Group (MFG) lenders and any Additional Consenting OpCo Bondholders</t>
  </si>
  <si>
    <t xml:space="preserve">Severally, not jointly, per the commitment schedule (on file, not public)</t>
  </si>
  <si>
    <t xml:space="preserve">HYPOTHETICAL: allocation offered to the reader's fund</t>
  </si>
  <si>
    <t xml:space="preserve">Allocation as % of the uninsured $70M</t>
  </si>
  <si>
    <t xml:space="preserve">Interest rate (PIK)</t>
  </si>
  <si>
    <t xml:space="preserve">Cash pay if FCCR &gt; 1.30x for ≥12 trailing months</t>
  </si>
  <si>
    <t xml:space="preserve">Cash-pay FCCR trigger</t>
  </si>
  <si>
    <t xml:space="preserve">Fixed charges include Pari Passu interest, exclude the Junior Exit Notes</t>
  </si>
  <si>
    <t xml:space="preserve">FCCR look-back</t>
  </si>
  <si>
    <t xml:space="preserve">years</t>
  </si>
  <si>
    <t xml:space="preserve">From closing (BLTFH plan effective date)</t>
  </si>
  <si>
    <t xml:space="preserve">Assured premium on insured notes (per year, with make-whole)</t>
  </si>
  <si>
    <t xml:space="preserve">Insured notes: rate + premium ≤ 8.5%</t>
  </si>
  <si>
    <t xml:space="preserve">Excess cash flow sweep: liquidity threshold</t>
  </si>
  <si>
    <t xml:space="preserve">Excess above the threshold for 13 continuous weeks, tested weekly</t>
  </si>
  <si>
    <t xml:space="preserve">Sweep: continuous weeks above the threshold</t>
  </si>
  <si>
    <t xml:space="preserve">weeks</t>
  </si>
  <si>
    <t xml:space="preserve">Applies only after all Deferred Interest is paid in cash</t>
  </si>
  <si>
    <t xml:space="preserve">Prepayment from the sweep: make-whole</t>
  </si>
  <si>
    <t xml:space="preserve">None on sweep prepayments</t>
  </si>
  <si>
    <t xml:space="preserve">B. Junior Exit Notes (Exhibit C, Part B)</t>
  </si>
  <si>
    <t xml:space="preserve">Plus up to $6M for MFG transaction expenses, plus incrementals</t>
  </si>
  <si>
    <t xml:space="preserve">Optional upsizing for MFG expenses</t>
  </si>
  <si>
    <t xml:space="preserve">Interest rate (taxable)</t>
  </si>
  <si>
    <t xml:space="preserve">8.0% if issued tax-exempt</t>
  </si>
  <si>
    <t xml:space="preserve">Interest rate if tax-exempt</t>
  </si>
  <si>
    <t xml:space="preserve">Cash-pay FCCR trigger (after year 1)</t>
  </si>
  <si>
    <t xml:space="preserve">And only once the Pari Passu notes are repaid or the equivalent applied</t>
  </si>
  <si>
    <t xml:space="preserve">Backstop fee (PIK, in notes and equity)</t>
  </si>
  <si>
    <t xml:space="preserve">C. New HoldCo equity (owns 100% of OpCo after exit; pledged)</t>
  </si>
  <si>
    <t xml:space="preserve">To purchasers of the Junior Exit Notes</t>
  </si>
  <si>
    <t xml:space="preserve">Subject to dilution by the management incentive plan (MIP)</t>
  </si>
  <si>
    <t xml:space="preserve">To Brightline East noteholders</t>
  </si>
  <si>
    <t xml:space="preserve">Reserved for junior stakeholder consideration</t>
  </si>
  <si>
    <t xml:space="preserve">Total</t>
  </si>
  <si>
    <t xml:space="preserve">Parent warrants (fully diluted New HoldCo equity) to parent bondholders</t>
  </si>
  <si>
    <t xml:space="preserve">Per the RSA notice summary</t>
  </si>
  <si>
    <t xml:space="preserve">D. In-court financing, bridge notes, deferral and control</t>
  </si>
  <si>
    <t xml:space="preserve">Senior Secured Brightline Facility</t>
  </si>
  <si>
    <t xml:space="preserve">Pari passu lien on OpCo bond collateral; matures at the earlier of 1 year from petition and plan effective date</t>
  </si>
  <si>
    <t xml:space="preserve">Interest (PIK, compounded monthly)</t>
  </si>
  <si>
    <t xml:space="preserve">+2.0% in an event of default</t>
  </si>
  <si>
    <t xml:space="preserve">Upfront fee (PIK)</t>
  </si>
  <si>
    <t xml:space="preserve">Bridge notes refinanced by the facility</t>
  </si>
  <si>
    <t xml:space="preserve">Assured Majority Control of the facility (vote share)</t>
  </si>
  <si>
    <t xml:space="preserve">Cleary AHG notes vote at Assured's direction; Assured buyout right at par</t>
  </si>
  <si>
    <t xml:space="preserve">Existing bridge notes (Bridge NPA) before 1 Sep 2026: face</t>
  </si>
  <si>
    <t xml:space="preserve">Existing bridge notes: excluding OID</t>
  </si>
  <si>
    <t xml:space="preserve">Additional bridge notes from Assured (Exhibit A): net proceeds</t>
  </si>
  <si>
    <t xml:space="preserve">7.5% PIK; 30% OID, waived on roll-up into the facility</t>
  </si>
  <si>
    <t xml:space="preserve">OpCo bonds insured under the Assured policy (9 May 2024)</t>
  </si>
  <si>
    <t xml:space="preserve">Coupons deferred by consenting OpCo bondholders</t>
  </si>
  <si>
    <t xml:space="preserve">From the RSA date through 30 Jan 2028</t>
  </si>
  <si>
    <t xml:space="preserve">Deferred Interest due by</t>
  </si>
  <si>
    <t xml:space="preserve">Deferral Shortfall financing cap (share of the shortfall)</t>
  </si>
  <si>
    <t xml:space="preserve">Funded 1/3 by incremental Pari Passu notes, 2/3 by incremental Junior notes</t>
  </si>
  <si>
    <t xml:space="preserve">Supporting holders: share of HoldCo bonds</t>
  </si>
  <si>
    <t xml:space="preserve">At least, at signing</t>
  </si>
  <si>
    <t xml:space="preserve">Consummation date: Assured may extend to (days after the petition)</t>
  </si>
  <si>
    <t xml:space="preserve">Later dates need Required MFG Parties' consent</t>
  </si>
  <si>
    <t xml:space="preserve">RSA Outside Date (days after the petition)</t>
  </si>
  <si>
    <t xml:space="preserve">Source: A&amp;R Restructuring Support Agreement and Restructuring Term Sheet (Exhibits A–F), EMMA event notice of 29 Sep 2026 [E2]; Bondoro case summary (secondary, cross-check only) [E10].</t>
  </si>
  <si>
    <t xml:space="preserve">Exhibit 7: Pricing comps: base rates, OpCo's own traded bonds, deal comps and the private credit premium</t>
  </si>
  <si>
    <t xml:space="preserve">(as of the dates shown; prices per 100 of par)</t>
  </si>
  <si>
    <t xml:space="preserve">Basis: labelled issuer and deal comps (no verified market band exists for this credit). Yields are IC Simulator calculations at the quoted price, flagged where the traded maturity is not disclosed.</t>
  </si>
  <si>
    <t xml:space="preserve">A. Base rates</t>
  </si>
  <si>
    <t xml:space="preserve">1M CME Term SOFR, 9 Oct 2026</t>
  </si>
  <si>
    <t xml:space="preserve">CME Term SOFR via global-rates.com, fetched 11 Oct 2026 [E11]</t>
  </si>
  <si>
    <t xml:space="preserve">3M CME Term SOFR, 9 Oct 2026</t>
  </si>
  <si>
    <t xml:space="preserve">[E11]</t>
  </si>
  <si>
    <t xml:space="preserve">Fed funds target, lower bound (from 17 Sep 2026)</t>
  </si>
  <si>
    <t xml:space="preserve">FOMC statement 16 Sep 2026 [E12]</t>
  </si>
  <si>
    <t xml:space="preserve">Fed funds target, upper bound</t>
  </si>
  <si>
    <t xml:space="preserve">Citizens facility all-in rate (1M Term SOFR + 2.00%)</t>
  </si>
  <si>
    <t xml:space="preserve">Assumes the facility references 1M Term SOFR (the FS say 'SOFR'); label as assumption</t>
  </si>
  <si>
    <t xml:space="preserve">B. Issuer comps: OpCo Series 2024 bonds and other Brightline debt</t>
  </si>
  <si>
    <t xml:space="preserve">Uninsured 5.50% 2053 term bond: yield at issue (to the 1 Jul 2032 call), Apr 2024</t>
  </si>
  <si>
    <t xml:space="preserve">OS inside cover [E1]</t>
  </si>
  <si>
    <t xml:space="preserve">Insured 5.25% 2053 term bond: yield at issue (to call), Apr 2024</t>
  </si>
  <si>
    <t xml:space="preserve">Uninsured senior OpCo bonds: price, 28 Sep 2026 ($139M block; maturity not disclosed)</t>
  </si>
  <si>
    <t xml:space="preserve">price</t>
  </si>
  <si>
    <t xml:space="preserve">Bond Buyer, 7 Oct 2026 [E9]</t>
  </si>
  <si>
    <t xml:space="preserve">Size of the 28 Sep 2026 uninsured block ($M)</t>
  </si>
  <si>
    <t xml:space="preserve">[E9]</t>
  </si>
  <si>
    <t xml:space="preserve">Uninsured senior OpCo bonds: price, 8 Apr 2026</t>
  </si>
  <si>
    <t xml:space="preserve">Insured senior OpCo bonds: round lots, 2 Oct 2026</t>
  </si>
  <si>
    <t xml:space="preserve">AAFOH junior unrated 12% bonds due 2059: price, 5 Oct 2026 ($15.4M traded)</t>
  </si>
  <si>
    <t xml:space="preserve">AAFOH junior unrated 12% bonds due 2059: price, 6 Oct 2026 (about $5M traded)</t>
  </si>
  <si>
    <t xml:space="preserve">AAFOH junior unrated bonds: price, January 2026</t>
  </si>
  <si>
    <t xml:space="preserve">Commuter bonds: last trade, January 2026</t>
  </si>
  <si>
    <t xml:space="preserve">Yield to maturity at 45.5 if the block was the 5.50% 2053 bond (FLAG: assumed maturity)</t>
  </si>
  <si>
    <t xml:space="preserve">IC Simulator; contractual cash flows (ignores deferral and default); tax-exempt yield</t>
  </si>
  <si>
    <t xml:space="preserve">Yield to maturity at 45.5 if the block was the 5.25% 2047 bond (FLAG: assumed maturity)</t>
  </si>
  <si>
    <t xml:space="preserve">Yield to maturity at 64.0 (8 Apr 2026), 5.50% 2053 bond assumed</t>
  </si>
  <si>
    <t xml:space="preserve">Yield to maturity at 95.6 (2 Oct 2026), insured 5.25% 2053 bond assumed</t>
  </si>
  <si>
    <t xml:space="preserve">Prices the Assured guarantee, not OpCo</t>
  </si>
  <si>
    <t xml:space="preserve">C. Deal comps inside this restructuring</t>
  </si>
  <si>
    <t xml:space="preserve">Senior Secured Brightline Facility: PIK rate</t>
  </si>
  <si>
    <t xml:space="preserve">Senior Secured Brightline Facility: upfront fee</t>
  </si>
  <si>
    <t xml:space="preserve">Bridge notes (May–Aug 2026): coupon</t>
  </si>
  <si>
    <t xml:space="preserve">Jul-2026 monthly report [E3]</t>
  </si>
  <si>
    <t xml:space="preserve">Bridge notes: issue price (Jun and Aug 2026 upsizes)</t>
  </si>
  <si>
    <t xml:space="preserve">[E3]</t>
  </si>
  <si>
    <t xml:space="preserve">Junior Exit Notes: rate (taxable)</t>
  </si>
  <si>
    <t xml:space="preserve">Brightline East senior secured notes: coupon</t>
  </si>
  <si>
    <t xml:space="preserve">Facility all-in, house convention (rate + fee ÷ 3 years)</t>
  </si>
  <si>
    <t xml:space="preserve">House convention; the facility's life is under one year, so ÷3 understates its true cost</t>
  </si>
  <si>
    <t xml:space="preserve">Bridge notes: current yield (coupon ÷ issue price)</t>
  </si>
  <si>
    <t xml:space="preserve">Maturity n/d, so no yield to maturity</t>
  </si>
  <si>
    <t xml:space="preserve">D. Private credit premium over broadly syndicated loans (BSL)</t>
  </si>
  <si>
    <t xml:space="preserve">Direct lending LBO spread premium over BSL, LTM to 30 Jun 2026</t>
  </si>
  <si>
    <t xml:space="preserve">bp</t>
  </si>
  <si>
    <t xml:space="preserve">Portage Point Partners Q2-2026 Credit Market Update p.8, citing PitchBook LCD data as of 30 Jun 2026 [E13]</t>
  </si>
  <si>
    <t xml:space="preserve">Direct lending premium over BSL, 2026 year to date to 30 Jun 2026</t>
  </si>
  <si>
    <t xml:space="preserve">[E13]</t>
  </si>
  <si>
    <t xml:space="preserve">Direct lending LBO spread, LTM to 30 Jun 2026 (over SOFR)</t>
  </si>
  <si>
    <t xml:space="preserve">BSL LBO spread, LTM to 30 Jun 2026 (over SOFR)</t>
  </si>
  <si>
    <t xml:space="preserve">B-minus BSL new-issue spread, Q2-2026 (over SOFR)</t>
  </si>
  <si>
    <t xml:space="preserve">The PitchBook US Private Credit Monitor (Sep 2026) returned 403 to a script; its 162bp figure (3 months to 31 Aug 2026) is secondary and not used.</t>
  </si>
  <si>
    <t xml:space="preserve">Source: As cited: OS [E1]; RSA [E2]; monthly report [E3]; Bond Buyer 7 Oct 2026 [E9]; CME via global-rates [E11]; FOMC [E12]; Portage Point / PitchBook LCD [E13]. Yields: IC Simulator.</t>
  </si>
  <si>
    <t xml:space="preserve">Exhibit 8: Precedent: OpCo's weakest periods since Orlando opened, next to the latest quarters</t>
  </si>
  <si>
    <t xml:space="preserve">(riders in passengers; revenue in $M; links to Exhibits 1 and 2)</t>
  </si>
  <si>
    <t xml:space="preserve">Basis: as derived in Exhibit 2 (quarters) and reported in Exhibit 1 (FY24A). Selection: lowest quarter in each full year of Miami–Orlando service, the weakest full year, and the two latest quarters.</t>
  </si>
  <si>
    <t xml:space="preserve">Days in period</t>
  </si>
  <si>
    <t xml:space="preserve">Revenue annualised (× 365 ÷ days)</t>
  </si>
  <si>
    <t xml:space="preserve">Earlier precedent: OpCo suspended all service from March 2020 to November 2021 (COVID-19), per the official statement; revenue in that period was near nil.</t>
  </si>
  <si>
    <t xml:space="preserve">Source: Exhibits 1–2 [E3–E7]; official statement project history [E1]; IC Simulator analysis.</t>
  </si>
  <si>
    <t xml:space="preserve">Exhibit 9: Reserves, liquidity and the restructuring timeline</t>
  </si>
  <si>
    <t xml:space="preserve">Basis: as reported (audited FS, official statement, EMMA notices, monthly reports). Timeline rows are dated events; no figure in this exhibit is an IC Simulator estimate.</t>
  </si>
  <si>
    <t xml:space="preserve">A. Reserves and covenants in the 2024 financing (official statement)</t>
  </si>
  <si>
    <t xml:space="preserve">Ramp-Up Reserve Account funded at closing</t>
  </si>
  <si>
    <t xml:space="preserve">Releases: 50% of the balance each year 2026–2028 [E1]</t>
  </si>
  <si>
    <t xml:space="preserve">Project Reserve Account funded at closing</t>
  </si>
  <si>
    <t xml:space="preserve">[E1]</t>
  </si>
  <si>
    <t xml:space="preserve">Rolling Stock Reserve Account funded at closing</t>
  </si>
  <si>
    <t xml:space="preserve">Senior debt service reserve requirement</t>
  </si>
  <si>
    <t xml:space="preserve">Next 12 months of bond principal and interest [E1]</t>
  </si>
  <si>
    <t xml:space="preserve">Restricted payment test: Total Senior DSCR (historic and projected 12 months)</t>
  </si>
  <si>
    <t xml:space="preserve">Or reserves ≥ $50M above the Project Reserve Required Balance [E1]</t>
  </si>
  <si>
    <t xml:space="preserve">Distribution test: Total DSCR (historic and projected)</t>
  </si>
  <si>
    <t xml:space="preserve">Plus Total Senior DSCR ≥ 1.30x [E1]</t>
  </si>
  <si>
    <t xml:space="preserve">Route length, Miami–Orlando International Airport</t>
  </si>
  <si>
    <t xml:space="preserve">miles</t>
  </si>
  <si>
    <t xml:space="preserve">Bondoro case summary citing court filings (secondary) [E10]</t>
  </si>
  <si>
    <t xml:space="preserve">of which passenger-only track, Cocoa–Orlando International Airport</t>
  </si>
  <si>
    <t xml:space="preserve">[E10] (secondary); the remaining 195 miles are shared with the Florida East Coast Railway</t>
  </si>
  <si>
    <t xml:space="preserve">B. Liquidity at 31 Dec 2025 (audited), and the in-court facility</t>
  </si>
  <si>
    <t xml:space="preserve">Unrestricted cash and cash equivalents</t>
  </si>
  <si>
    <t xml:space="preserve">[E7]</t>
  </si>
  <si>
    <t xml:space="preserve">Restricted cash, total</t>
  </si>
  <si>
    <t xml:space="preserve">of which funded interest</t>
  </si>
  <si>
    <t xml:space="preserve">[E7] Note 3</t>
  </si>
  <si>
    <t xml:space="preserve">of which other reserves</t>
  </si>
  <si>
    <t xml:space="preserve">Restricted cash at 31 Dec 2024</t>
  </si>
  <si>
    <t xml:space="preserve">[E7] Note 3; plus $45.0M then undrawn on the revolver</t>
  </si>
  <si>
    <t xml:space="preserve">In-court facility available under the interim order (29 Sep 2026)</t>
  </si>
  <si>
    <t xml:space="preserve">Captables, 7 Oct 2026 (secondary) [E15]; remaining $67.7M needs the final order (hearing 29 Oct 2026)</t>
  </si>
  <si>
    <t xml:space="preserve">In-court facility awaiting the final order</t>
  </si>
  <si>
    <t xml:space="preserve">[E15]</t>
  </si>
  <si>
    <t xml:space="preserve">C. Timeline (dated events)</t>
  </si>
  <si>
    <t xml:space="preserve">9 May 2024: Series 2024 bonds ($2,219.28M) close; $45M Citizens revolver signed</t>
  </si>
  <si>
    <t xml:space="preserve">[E1,E7]</t>
  </si>
  <si>
    <t xml:space="preserve">1 Jan 2026: OpCo draws its debt service reserve to pay the 1 Jan 2026 bond interest (notice 14 Jan 2026)</t>
  </si>
  <si>
    <t xml:space="preserve">EMMA notice [E8]</t>
  </si>
  <si>
    <t xml:space="preserve">May 2026: Citizens revolver ($45.0M drawn) reaches its extended maturity</t>
  </si>
  <si>
    <t xml:space="preserve">21 May 2026: OpCo issues $22.2M of 7.5% bridge notes (Bridge NPA)</t>
  </si>
  <si>
    <t xml:space="preserve">17 Jun 2026: Bridge notes upsized to about $43.1M at a 70% issue price</t>
  </si>
  <si>
    <t xml:space="preserve">15 Jul 2026: AAFOH (HoldCo) interest due; grace period later extended to 21 Aug 2026</t>
  </si>
  <si>
    <t xml:space="preserve">19 Aug 2026: About $14.3M of further bridge notes at a 70% issue price</t>
  </si>
  <si>
    <t xml:space="preserve">24 Sep 2026: Parent entities (17 Debtors) file Chapter 11 in the District of New Jersey; OpCo does not file</t>
  </si>
  <si>
    <t xml:space="preserve">Stretto docket [E14]; [E10]</t>
  </si>
  <si>
    <t xml:space="preserve">29 Sep 2026: Interim order makes $190M of the $257.7M in-court facility available (secondary)</t>
  </si>
  <si>
    <t xml:space="preserve">25 Sep 2026: Restructuring Support Agreement signed (Assured, the Ad Hoc Mutual Fund Group, others)</t>
  </si>
  <si>
    <t xml:space="preserve">28 Sep 2026: $139M of uninsured senior OpCo bonds trade at 45.5</t>
  </si>
  <si>
    <t xml:space="preserve">29 Sep 2026: Amended and restated RSA; EMMA event notice</t>
  </si>
  <si>
    <t xml:space="preserve">1 Oct 2026: Fitch downgrades the $2.2bn OpCo bonds to C from CC (distressed debt exchange)</t>
  </si>
  <si>
    <t xml:space="preserve">1 Jan 2027: Supporting Holders to agree the Deferred Interest Treatment before this date</t>
  </si>
  <si>
    <t xml:space="preserve">Source: Official statement [E1]; RSA [E2]; monthly reports [E3]; FY2025 audited FS [E7]; EMMA notice [E8]; Bond Buyer [E9]; Bondoro (secondary) [E10]; Stretto docket [E14].</t>
  </si>
  <si>
    <t xml:space="preserve">Exhibit 10: Monthly riders and revenue, January–July 2025 and 2026</t>
  </si>
  <si>
    <t xml:space="preserve">Month end date (2026)</t>
  </si>
  <si>
    <t xml:space="preserve">Jan</t>
  </si>
  <si>
    <t xml:space="preserve">Feb</t>
  </si>
  <si>
    <t xml:space="preserve">Mar</t>
  </si>
  <si>
    <t xml:space="preserve">Apr</t>
  </si>
  <si>
    <t xml:space="preserve">May</t>
  </si>
  <si>
    <t xml:space="preserve">Jun</t>
  </si>
  <si>
    <t xml:space="preserve">Jul</t>
  </si>
  <si>
    <t xml:space="preserve">Basis: as reported in each 2026 monthly report (current month and prior-year month). January is derived as YTD Feb − February and flagged.</t>
  </si>
  <si>
    <t xml:space="preserve">YTD Feb riders, 2025 | 2026 (Feb-2026 report)</t>
  </si>
  <si>
    <t xml:space="preserve">Used only to derive January (columns D and E hold 2025 and 2026)</t>
  </si>
  <si>
    <t xml:space="preserve">YTD Feb revenue, 2025 | 2026 (Feb-2026 report)</t>
  </si>
  <si>
    <t xml:space="preserve">Riders, 2025</t>
  </si>
  <si>
    <t xml:space="preserve">Jan derived (flag); Feb–Jul prior-year columns of the 2026 reports</t>
  </si>
  <si>
    <t xml:space="preserve">Riders, 2026</t>
  </si>
  <si>
    <t xml:space="preserve">Jan derived (flag)</t>
  </si>
  <si>
    <t xml:space="preserve">Total revenue, 2025</t>
  </si>
  <si>
    <t xml:space="preserve">Total revenue, 2026</t>
  </si>
  <si>
    <t xml:space="preserve">Total revenue, change year on year</t>
  </si>
  <si>
    <t xml:space="preserve">Average fare, 2026 (as reported)</t>
  </si>
  <si>
    <t xml:space="preserve">Reported where read; other months n/d in this data book</t>
  </si>
  <si>
    <t xml:space="preserve">Florida residents, share of riders (July 2026)</t>
  </si>
  <si>
    <t xml:space="preserve">Jul-2026 report p.4 [E3]</t>
  </si>
  <si>
    <t xml:space="preserve">Train departures per day, YTD Jul-26</t>
  </si>
  <si>
    <t xml:space="preserve">Flag: January 2025 and January 2026 are derived (YTD Feb − February). The Jan-2026 report is an image PDF and was not transcribed.</t>
  </si>
  <si>
    <t xml:space="preserve">Source: Brightline Florida monthly reports, Feb–Jul 2026 [E3].</t>
  </si>
  <si>
    <t xml:space="preserve">Checks: internal arithmetic (exact) and ties to filed data (Model / Reported / Delta)</t>
  </si>
  <si>
    <t xml:space="preserve">Tolerance: 0 for internal builds; ±0.5 × the reported unit for each filed figure summed (rounding)</t>
  </si>
  <si>
    <t xml:space="preserve">Check</t>
  </si>
  <si>
    <t xml:space="preserve">Model</t>
  </si>
  <si>
    <t xml:space="preserve">Reported / target</t>
  </si>
  <si>
    <t xml:space="preserve">Delta</t>
  </si>
  <si>
    <t xml:space="preserve">Status</t>
  </si>
  <si>
    <t xml:space="preserve">Internal arithmetic (must equal 0)</t>
  </si>
  <si>
    <t xml:space="preserve">Exit financing: sources − uses (Exhibit 5 D)</t>
  </si>
  <si>
    <t xml:space="preserve">Insured + uninsured − total Series 2024 bonds (Exhibit 5)</t>
  </si>
  <si>
    <t xml:space="preserve">Sum of quarters Q1-24..Q4-24 riders − FY2024 data point</t>
  </si>
  <si>
    <t xml:space="preserve">Sum of quarters Q1-25..Q4-25 riders − FY2025 data point</t>
  </si>
  <si>
    <t xml:space="preserve">Sum of quarters Q1-25..Q4-25 revenue − FY2025 data point</t>
  </si>
  <si>
    <t xml:space="preserve">New HoldCo equity split − 100%</t>
  </si>
  <si>
    <t xml:space="preserve">Pari Passu: Assured share + MFG share − $140M</t>
  </si>
  <si>
    <t xml:space="preserve">Exhibit 1 LTM riders − (FY25 + 6M Jun-26 − 6M Jun-25) via Exhibit 3 points</t>
  </si>
  <si>
    <t xml:space="preserve">Exhibit 8 links − Exhibit 2 (Q2-26 riders)</t>
  </si>
  <si>
    <t xml:space="preserve">Ties to filed data (Model / Reported / Delta; tolerance = 0.5 × reported unit per figure summed)</t>
  </si>
  <si>
    <t xml:space="preserve">Riders FY2024: short + long distance vs reported total (2,763,512)</t>
  </si>
  <si>
    <t xml:space="preserve">Riders FY2025: short + long distance vs reported total (3,116,323)</t>
  </si>
  <si>
    <t xml:space="preserve">Riders 6M Jun-25: short + long distance vs reported total (1,547,977)</t>
  </si>
  <si>
    <t xml:space="preserve">Riders 6M Jun-26: short + long distance vs reported total (1,789,676)</t>
  </si>
  <si>
    <t xml:space="preserve">Report-basis revenue FY24A: ticket + ancillary vs reported total ($187.9M; 3 figures at $0.1M)</t>
  </si>
  <si>
    <t xml:space="preserve">Report-basis revenue FY25A: ticket + ancillary vs reported total ($214.0M; 3 figures at $0.1M)</t>
  </si>
  <si>
    <t xml:space="preserve">Report-basis revenue 6M Jun-25: ticket + ancillary vs reported total ($105.9M; 3 figures at $0.1M)</t>
  </si>
  <si>
    <t xml:space="preserve">Report-basis revenue 6M Jun-26: ticket + ancillary vs reported total ($124.0M; 3 figures at $0.1M)</t>
  </si>
  <si>
    <t xml:space="preserve">Audited total revenue FY23A: four lines vs reported ($87.662M)</t>
  </si>
  <si>
    <t xml:space="preserve">Audited total revenue FY24A: four lines vs reported ($187.941M)</t>
  </si>
  <si>
    <t xml:space="preserve">Audited total revenue FY25A: four lines vs reported ($214.043M)</t>
  </si>
  <si>
    <t xml:space="preserve">Audited operating loss FY23A: recomputed vs reported ($-156.782M; 11 figures)</t>
  </si>
  <si>
    <t xml:space="preserve">Audited operating loss FY24A: recomputed vs reported ($-153.479M; 11 figures)</t>
  </si>
  <si>
    <t xml:space="preserve">Audited operating loss FY25A: recomputed vs reported ($-127.039M; 11 figures)</t>
  </si>
  <si>
    <t xml:space="preserve">Audited net loss FY23A: recomputed vs reported ($-306.68M; 14 figures)</t>
  </si>
  <si>
    <t xml:space="preserve">Audited net loss FY24A: recomputed vs reported ($-548.716M; 14 figures)</t>
  </si>
  <si>
    <t xml:space="preserve">Audited net loss FY25A: recomputed vs reported ($-233.104M; 14 figures)</t>
  </si>
  <si>
    <t xml:space="preserve">FY2025 cash flow: operating + investing + financing vs change in cash and restricted cash (−$150.220M)</t>
  </si>
  <si>
    <t xml:space="preserve">FY2025 cash and restricted cash: 2024 balance + change vs reported ($138.298M)</t>
  </si>
  <si>
    <t xml:space="preserve">FY2025 ticket revenue: monthly-report basis vs audited ($173.232M; 2 figures at $0.1M)</t>
  </si>
  <si>
    <t xml:space="preserve">FY2025 average fare: recomputed vs reported ($55.59)</t>
  </si>
  <si>
    <t xml:space="preserve">Series 2024 bonds: sum of 11 maturities vs $2,219.280M (audited Note 9)</t>
  </si>
  <si>
    <t xml:space="preserve">Insured maturities vs Assured policy amount in the RSA ($1,133.44M)</t>
  </si>
  <si>
    <t xml:space="preserve">FY2025 debt principal: bonds + revolver vs audited ($2,264.280M)</t>
  </si>
  <si>
    <t xml:space="preserve">YTD Sep-25 riders: Sep-2025 report vs (YTD Oct-25 − Oct-25) from the Oct-2025 report</t>
  </si>
  <si>
    <t xml:space="preserve">YTD Sep-25 revenue: Sep-2025 report vs Oct-2025 report difference (2 figures at $0.1M)</t>
  </si>
  <si>
    <t xml:space="preserve">Q1-26 riders: Jan (derived) + Feb + Mar 2026 (Exhibit 10) vs Exhibit 2</t>
  </si>
  <si>
    <t xml:space="preserve">Q2-26 riders: Apr + May + Jun 2026 monthly (Exhibit 10) vs Exhibit 2</t>
  </si>
  <si>
    <t xml:space="preserve">Q2-25 riders: Apr + May + Jun 2025 monthly (Exhibit 10) vs Exhibit 2</t>
  </si>
  <si>
    <t xml:space="preserve">Q2-26 revenue: Apr + May + Jun 2026 monthly vs Exhibit 2 (4 figures at $0.1M)</t>
  </si>
  <si>
    <t xml:space="preserve">OS Scenario 2: years where |revenue − (ticket + ancillary)| &gt; $1M (3 figures at $1M → tolerance 1.5)</t>
  </si>
  <si>
    <t xml:space="preserve">OS Scenario 2: years where |EBITDA − (revenue − opex)| &gt; 1.5</t>
  </si>
  <si>
    <t xml:space="preserve">OS Scenario 2: years where |CFADS − (unlevered CF + reserve draw)| &gt; 1.5</t>
  </si>
  <si>
    <t xml:space="preserve">OS Scenario 2: years 2026E–2053E where |recomputed DSCR − published| &gt; 0.1x (1-dp publication + $1M rounding)</t>
  </si>
  <si>
    <t xml:space="preserve">OS Scenario 2: 2026E passengers vs the OS text ('approximately 8.0 million')</t>
  </si>
  <si>
    <t xml:space="preserve">OS Scenario 2: 2026E ticket revenue vs the OS text ($695M)</t>
  </si>
  <si>
    <t xml:space="preserve">OS Scenario 1: 2026E ticket revenue vs the 2026 origin–destination table ($679.8M)</t>
  </si>
</sst>
</file>

<file path=xl/styles.xml><?xml version="1.0" encoding="utf-8"?>
<styleSheet xmlns="http://schemas.openxmlformats.org/spreadsheetml/2006/main">
  <numFmts count="15">
    <numFmt numFmtId="164" formatCode="General"/>
    <numFmt numFmtId="165" formatCode="dd\-mmm\-yy"/>
    <numFmt numFmtId="166" formatCode="#,##0;\(#,##0\);\–"/>
    <numFmt numFmtId="167" formatCode="#,##0.0;\(#,##0.0\);\–"/>
    <numFmt numFmtId="168" formatCode="\$#,##0.00;&quot;($&quot;#,##0.00\)"/>
    <numFmt numFmtId="169" formatCode="#,##0.00;\(#,##0.00\);\–"/>
    <numFmt numFmtId="170" formatCode="0.0%;\(0.0%\);\–"/>
    <numFmt numFmtId="171" formatCode="0.0\x;\(0.0&quot;x)&quot;"/>
    <numFmt numFmtId="172" formatCode="0.00\x;\(0.00&quot;x)&quot;"/>
    <numFmt numFmtId="173" formatCode="#,##0.000;\(#,##0.000\)"/>
    <numFmt numFmtId="174" formatCode="0.00%;\(0.00%\);\–"/>
    <numFmt numFmtId="175" formatCode="0%"/>
    <numFmt numFmtId="176" formatCode="0.000%;\(0.000%\)"/>
    <numFmt numFmtId="177" formatCode="\p0"/>
    <numFmt numFmtId="178" formatCode="0.000"/>
  </numFmts>
  <fonts count="20">
    <font>
      <sz val="11"/>
      <color theme="1"/>
      <name val="Calibri"/>
      <family val="2"/>
      <charset val="1"/>
    </font>
    <font>
      <sz val="10"/>
      <name val="Arial"/>
      <family val="0"/>
    </font>
    <font>
      <sz val="10"/>
      <name val="Arial"/>
      <family val="0"/>
    </font>
    <font>
      <sz val="10"/>
      <name val="Arial"/>
      <family val="0"/>
    </font>
    <font>
      <sz val="9"/>
      <name val="Arial"/>
      <family val="0"/>
      <charset val="1"/>
    </font>
    <font>
      <b val="true"/>
      <sz val="12"/>
      <color rgb="FF121826"/>
      <name val="Georgia"/>
      <family val="0"/>
      <charset val="1"/>
    </font>
    <font>
      <i val="true"/>
      <sz val="9"/>
      <color rgb="FF5B6475"/>
      <name val="Arial"/>
      <family val="0"/>
      <charset val="1"/>
    </font>
    <font>
      <b val="true"/>
      <sz val="9"/>
      <name val="Arial"/>
      <family val="0"/>
      <charset val="1"/>
    </font>
    <font>
      <sz val="9"/>
      <color rgb="FF2A3140"/>
      <name val="Arial"/>
      <family val="0"/>
      <charset val="1"/>
    </font>
    <font>
      <b val="true"/>
      <sz val="9"/>
      <color rgb="FF0B5D4B"/>
      <name val="Arial"/>
      <family val="0"/>
      <charset val="1"/>
    </font>
    <font>
      <sz val="9"/>
      <color rgb="FF5B6475"/>
      <name val="Arial"/>
      <family val="0"/>
      <charset val="1"/>
    </font>
    <font>
      <sz val="9"/>
      <color rgb="FF0000FF"/>
      <name val="Arial"/>
      <family val="0"/>
      <charset val="1"/>
    </font>
    <font>
      <b val="true"/>
      <sz val="9"/>
      <color rgb="FF121826"/>
      <name val="Arial"/>
      <family val="0"/>
      <charset val="1"/>
    </font>
    <font>
      <b val="true"/>
      <sz val="9"/>
      <color rgb="FFFFFFFF"/>
      <name val="Arial"/>
      <family val="0"/>
      <charset val="1"/>
    </font>
    <font>
      <sz val="9"/>
      <color rgb="FF000000"/>
      <name val="Arial"/>
      <family val="0"/>
      <charset val="1"/>
    </font>
    <font>
      <b val="true"/>
      <sz val="9"/>
      <color rgb="FF2A3140"/>
      <name val="Arial"/>
      <family val="0"/>
      <charset val="1"/>
    </font>
    <font>
      <b val="true"/>
      <sz val="9"/>
      <color rgb="FF0000FF"/>
      <name val="Arial"/>
      <family val="0"/>
      <charset val="1"/>
    </font>
    <font>
      <b val="true"/>
      <sz val="9"/>
      <color rgb="FF000000"/>
      <name val="Arial"/>
      <family val="0"/>
      <charset val="1"/>
    </font>
    <font>
      <sz val="9"/>
      <color rgb="FF008000"/>
      <name val="Arial"/>
      <family val="0"/>
      <charset val="1"/>
    </font>
    <font>
      <b val="true"/>
      <sz val="9"/>
      <color rgb="FF008000"/>
      <name val="Arial"/>
      <family val="0"/>
      <charset val="1"/>
    </font>
  </fonts>
  <fills count="4">
    <fill>
      <patternFill patternType="none"/>
    </fill>
    <fill>
      <patternFill patternType="gray125"/>
    </fill>
    <fill>
      <patternFill patternType="solid">
        <fgColor rgb="FFE4EAF3"/>
        <bgColor rgb="FFDDDCD4"/>
      </patternFill>
    </fill>
    <fill>
      <patternFill patternType="solid">
        <fgColor rgb="FF1E3A5F"/>
        <bgColor rgb="FF2A3140"/>
      </patternFill>
    </fill>
  </fills>
  <borders count="3">
    <border diagonalUp="false" diagonalDown="false">
      <left/>
      <right/>
      <top/>
      <bottom/>
      <diagonal/>
    </border>
    <border diagonalUp="false" diagonalDown="false">
      <left/>
      <right/>
      <top/>
      <bottom style="thin">
        <color rgb="FFDDDCD4"/>
      </bottom>
      <diagonal/>
    </border>
    <border diagonalUp="false" diagonalDown="false">
      <left/>
      <right/>
      <top style="thin">
        <color rgb="FFDDDCD4"/>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right" vertical="bottom" textRotation="0" wrapText="false" indent="0" shrinkToFit="false"/>
      <protection locked="true" hidden="false"/>
    </xf>
    <xf numFmtId="164" fontId="12" fillId="2" borderId="1" xfId="0" applyFont="true" applyBorder="true" applyAlignment="false" applyProtection="false">
      <alignment horizontal="general" vertical="bottom" textRotation="0" wrapText="false" indent="0" shrinkToFit="false"/>
      <protection locked="true" hidden="false"/>
    </xf>
    <xf numFmtId="164" fontId="12" fillId="2" borderId="1" xfId="0" applyFont="true" applyBorder="true" applyAlignment="true" applyProtection="false">
      <alignment horizontal="right"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right" vertical="bottom" textRotation="0" wrapText="false" indent="0" shrinkToFit="false"/>
      <protection locked="true" hidden="false"/>
    </xf>
    <xf numFmtId="166" fontId="14" fillId="0" borderId="0" xfId="0" applyFont="true" applyBorder="false" applyAlignment="true" applyProtection="false">
      <alignment horizontal="right"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6" fontId="16" fillId="0" borderId="2" xfId="0" applyFont="true" applyBorder="true" applyAlignment="true" applyProtection="false">
      <alignment horizontal="right" vertical="bottom" textRotation="0" wrapText="false" indent="0" shrinkToFit="false"/>
      <protection locked="true" hidden="false"/>
    </xf>
    <xf numFmtId="166" fontId="17" fillId="0" borderId="2" xfId="0" applyFont="true" applyBorder="true" applyAlignment="true" applyProtection="false">
      <alignment horizontal="right" vertical="bottom" textRotation="0" wrapText="false" indent="0" shrinkToFit="false"/>
      <protection locked="true" hidden="false"/>
    </xf>
    <xf numFmtId="167" fontId="11" fillId="0" borderId="0" xfId="0" applyFont="true" applyBorder="false" applyAlignment="true" applyProtection="false">
      <alignment horizontal="right" vertical="bottom" textRotation="0" wrapText="false" indent="0" shrinkToFit="false"/>
      <protection locked="true" hidden="false"/>
    </xf>
    <xf numFmtId="167" fontId="14" fillId="0" borderId="0" xfId="0" applyFont="true" applyBorder="false" applyAlignment="true" applyProtection="false">
      <alignment horizontal="right" vertical="bottom" textRotation="0" wrapText="false" indent="0" shrinkToFit="false"/>
      <protection locked="true" hidden="false"/>
    </xf>
    <xf numFmtId="167" fontId="17" fillId="0" borderId="2" xfId="0" applyFont="true" applyBorder="true" applyAlignment="true" applyProtection="false">
      <alignment horizontal="right" vertical="bottom" textRotation="0" wrapText="false" indent="0" shrinkToFit="false"/>
      <protection locked="true" hidden="false"/>
    </xf>
    <xf numFmtId="168" fontId="11" fillId="0" borderId="0" xfId="0" applyFont="true" applyBorder="false" applyAlignment="true" applyProtection="false">
      <alignment horizontal="right" vertical="bottom" textRotation="0" wrapText="false" indent="0" shrinkToFit="false"/>
      <protection locked="true" hidden="false"/>
    </xf>
    <xf numFmtId="168" fontId="14" fillId="0" borderId="0" xfId="0" applyFont="true" applyBorder="false" applyAlignment="true" applyProtection="false">
      <alignment horizontal="right" vertical="bottom" textRotation="0" wrapText="false" indent="0" shrinkToFit="false"/>
      <protection locked="true" hidden="false"/>
    </xf>
    <xf numFmtId="169" fontId="11" fillId="0" borderId="0" xfId="0" applyFont="true" applyBorder="false" applyAlignment="true" applyProtection="false">
      <alignment horizontal="right" vertical="bottom" textRotation="0" wrapText="false" indent="0" shrinkToFit="false"/>
      <protection locked="true" hidden="false"/>
    </xf>
    <xf numFmtId="166" fontId="18" fillId="0" borderId="0" xfId="0" applyFont="true" applyBorder="false" applyAlignment="true" applyProtection="false">
      <alignment horizontal="right" vertical="bottom" textRotation="0" wrapText="false" indent="0" shrinkToFit="false"/>
      <protection locked="true" hidden="false"/>
    </xf>
    <xf numFmtId="167" fontId="18" fillId="0" borderId="0" xfId="0" applyFont="true" applyBorder="false" applyAlignment="true" applyProtection="false">
      <alignment horizontal="right" vertical="bottom" textRotation="0" wrapText="false" indent="0" shrinkToFit="false"/>
      <protection locked="true" hidden="false"/>
    </xf>
    <xf numFmtId="170" fontId="14" fillId="0" borderId="0" xfId="0" applyFont="true" applyBorder="false" applyAlignment="true" applyProtection="false">
      <alignment horizontal="right" vertical="bottom" textRotation="0" wrapText="false" indent="0" shrinkToFit="false"/>
      <protection locked="true" hidden="false"/>
    </xf>
    <xf numFmtId="167" fontId="16" fillId="0" borderId="2" xfId="0" applyFont="true" applyBorder="true" applyAlignment="true" applyProtection="false">
      <alignment horizontal="right" vertical="bottom" textRotation="0" wrapText="false" indent="0" shrinkToFit="false"/>
      <protection locked="true" hidden="false"/>
    </xf>
    <xf numFmtId="171" fontId="11" fillId="0" borderId="0" xfId="0" applyFont="true" applyBorder="false" applyAlignment="true" applyProtection="false">
      <alignment horizontal="right" vertical="bottom" textRotation="0" wrapText="false" indent="0" shrinkToFit="false"/>
      <protection locked="true" hidden="false"/>
    </xf>
    <xf numFmtId="172" fontId="14" fillId="0" borderId="0" xfId="0" applyFont="true" applyBorder="false" applyAlignment="true" applyProtection="false">
      <alignment horizontal="right" vertical="bottom" textRotation="0" wrapText="false" indent="0" shrinkToFit="false"/>
      <protection locked="true" hidden="false"/>
    </xf>
    <xf numFmtId="173" fontId="11" fillId="0" borderId="0" xfId="0" applyFont="true" applyBorder="false" applyAlignment="true" applyProtection="false">
      <alignment horizontal="right" vertical="bottom" textRotation="0" wrapText="false" indent="0" shrinkToFit="false"/>
      <protection locked="true" hidden="false"/>
    </xf>
    <xf numFmtId="174" fontId="11" fillId="0" borderId="0" xfId="0" applyFont="true" applyBorder="false" applyAlignment="true" applyProtection="false">
      <alignment horizontal="right" vertical="bottom" textRotation="0" wrapText="false" indent="0" shrinkToFit="false"/>
      <protection locked="true" hidden="false"/>
    </xf>
    <xf numFmtId="173" fontId="17" fillId="0" borderId="2" xfId="0" applyFont="true" applyBorder="true" applyAlignment="true" applyProtection="false">
      <alignment horizontal="right" vertical="bottom" textRotation="0" wrapText="false" indent="0" shrinkToFit="false"/>
      <protection locked="true" hidden="false"/>
    </xf>
    <xf numFmtId="173" fontId="14" fillId="0" borderId="0" xfId="0" applyFont="true" applyBorder="false" applyAlignment="true" applyProtection="false">
      <alignment horizontal="right" vertical="bottom" textRotation="0" wrapText="false" indent="0" shrinkToFit="false"/>
      <protection locked="true" hidden="false"/>
    </xf>
    <xf numFmtId="170" fontId="11" fillId="0" borderId="0" xfId="0" applyFont="true" applyBorder="false" applyAlignment="true" applyProtection="false">
      <alignment horizontal="right" vertical="bottom" textRotation="0" wrapText="false" indent="0" shrinkToFit="false"/>
      <protection locked="true" hidden="false"/>
    </xf>
    <xf numFmtId="165" fontId="14" fillId="0" borderId="0" xfId="0" applyFont="true" applyBorder="false" applyAlignment="true" applyProtection="false">
      <alignment horizontal="right" vertical="bottom" textRotation="0" wrapText="false" indent="0" shrinkToFit="false"/>
      <protection locked="true" hidden="false"/>
    </xf>
    <xf numFmtId="171" fontId="14" fillId="0" borderId="0" xfId="0" applyFont="true" applyBorder="false" applyAlignment="true" applyProtection="false">
      <alignment horizontal="right" vertical="bottom" textRotation="0" wrapText="false" indent="0" shrinkToFit="false"/>
      <protection locked="true" hidden="false"/>
    </xf>
    <xf numFmtId="172" fontId="11" fillId="0" borderId="0" xfId="0" applyFont="true" applyBorder="false" applyAlignment="true" applyProtection="false">
      <alignment horizontal="right" vertical="bottom" textRotation="0" wrapText="false" indent="0" shrinkToFit="false"/>
      <protection locked="true" hidden="false"/>
    </xf>
    <xf numFmtId="174" fontId="17" fillId="0" borderId="2" xfId="0" applyFont="true" applyBorder="true" applyAlignment="true" applyProtection="false">
      <alignment horizontal="right" vertical="bottom" textRotation="0" wrapText="false" indent="0" shrinkToFit="false"/>
      <protection locked="true" hidden="false"/>
    </xf>
    <xf numFmtId="175" fontId="11" fillId="0" borderId="0" xfId="0" applyFont="true" applyBorder="false" applyAlignment="true" applyProtection="false">
      <alignment horizontal="right" vertical="bottom" textRotation="0" wrapText="false" indent="0" shrinkToFit="false"/>
      <protection locked="true" hidden="false"/>
    </xf>
    <xf numFmtId="176" fontId="11" fillId="0" borderId="0" xfId="0" applyFont="true" applyBorder="false" applyAlignment="true" applyProtection="false">
      <alignment horizontal="right" vertical="bottom" textRotation="0" wrapText="false" indent="0" shrinkToFit="false"/>
      <protection locked="true" hidden="false"/>
    </xf>
    <xf numFmtId="176" fontId="14" fillId="0" borderId="0" xfId="0" applyFont="true" applyBorder="false" applyAlignment="true" applyProtection="false">
      <alignment horizontal="right" vertical="bottom" textRotation="0" wrapText="false" indent="0" shrinkToFit="false"/>
      <protection locked="true" hidden="false"/>
    </xf>
    <xf numFmtId="174" fontId="14" fillId="0" borderId="0" xfId="0" applyFont="true" applyBorder="false" applyAlignment="true" applyProtection="false">
      <alignment horizontal="right" vertical="bottom" textRotation="0" wrapText="false" indent="0" shrinkToFit="false"/>
      <protection locked="true" hidden="false"/>
    </xf>
    <xf numFmtId="167" fontId="19" fillId="0" borderId="2" xfId="0" applyFont="true" applyBorder="true" applyAlignment="true" applyProtection="false">
      <alignment horizontal="right" vertical="bottom" textRotation="0" wrapText="false" indent="0" shrinkToFit="false"/>
      <protection locked="true" hidden="false"/>
    </xf>
    <xf numFmtId="177" fontId="11" fillId="0" borderId="0" xfId="0" applyFont="true" applyBorder="false" applyAlignment="true" applyProtection="false">
      <alignment horizontal="right"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9" fontId="14"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78" fontId="11" fillId="0"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4" fontId="14" fillId="0" borderId="0" xfId="0" applyFont="true" applyBorder="false" applyAlignment="false" applyProtection="false">
      <alignment horizontal="general" vertical="bottom" textRotation="0" wrapText="false" indent="0" shrinkToFit="false"/>
      <protection locked="true" hidden="false"/>
    </xf>
    <xf numFmtId="174" fontId="11" fillId="0" borderId="0" xfId="0" applyFont="true" applyBorder="false" applyAlignment="false" applyProtection="false">
      <alignment horizontal="general" vertical="bottom" textRotation="0" wrapText="false" indent="0" shrinkToFit="false"/>
      <protection locked="true" hidden="false"/>
    </xf>
    <xf numFmtId="173" fontId="14"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7" fontId="14"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5D4B"/>
      <rgbColor rgb="FFC0C0C0"/>
      <rgbColor rgb="FF808080"/>
      <rgbColor rgb="FF9999FF"/>
      <rgbColor rgb="FF993366"/>
      <rgbColor rgb="FFFFFFCC"/>
      <rgbColor rgb="FFE4EAF3"/>
      <rgbColor rgb="FF660066"/>
      <rgbColor rgb="FFFF8080"/>
      <rgbColor rgb="FF0066CC"/>
      <rgbColor rgb="FFDDDCD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69696"/>
      <rgbColor rgb="FF1E3A5F"/>
      <rgbColor rgb="FF339966"/>
      <rgbColor rgb="FF121826"/>
      <rgbColor rgb="FF333300"/>
      <rgbColor rgb="FF993300"/>
      <rgbColor rgb="FF993366"/>
      <rgbColor rgb="FF333399"/>
      <rgbColor rgb="FF2A31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100"/>
  </cols>
  <sheetData>
    <row r="1" customFormat="false" ht="15" hidden="false" customHeight="false" outlineLevel="0" collapsed="false">
      <c r="A1" s="1"/>
      <c r="B1" s="2" t="s">
        <v>0</v>
      </c>
      <c r="C1" s="1"/>
    </row>
    <row r="2" customFormat="false" ht="15" hidden="false" customHeight="false" outlineLevel="0" collapsed="false">
      <c r="A2" s="1"/>
      <c r="B2" s="3" t="s">
        <v>1</v>
      </c>
      <c r="C2" s="1"/>
    </row>
    <row r="3" customFormat="false" ht="15" hidden="false" customHeight="false" outlineLevel="0" collapsed="false">
      <c r="A3" s="1"/>
      <c r="B3" s="1"/>
      <c r="C3" s="1"/>
    </row>
    <row r="4" customFormat="false" ht="15" hidden="false" customHeight="false" outlineLevel="0" collapsed="false">
      <c r="A4" s="1"/>
      <c r="B4" s="4" t="s">
        <v>2</v>
      </c>
      <c r="C4" s="5" t="s">
        <v>3</v>
      </c>
    </row>
    <row r="5" customFormat="false" ht="15" hidden="false" customHeight="false" outlineLevel="0" collapsed="false">
      <c r="A5" s="1"/>
      <c r="B5" s="4" t="s">
        <v>4</v>
      </c>
      <c r="C5" s="5" t="s">
        <v>5</v>
      </c>
    </row>
    <row r="6" customFormat="false" ht="15" hidden="false" customHeight="false" outlineLevel="0" collapsed="false">
      <c r="A6" s="1"/>
      <c r="B6" s="4" t="s">
        <v>6</v>
      </c>
      <c r="C6" s="5" t="s">
        <v>7</v>
      </c>
    </row>
    <row r="7" customFormat="false" ht="15" hidden="false" customHeight="false" outlineLevel="0" collapsed="false">
      <c r="A7" s="1"/>
      <c r="B7" s="4" t="s">
        <v>8</v>
      </c>
      <c r="C7" s="5" t="s">
        <v>9</v>
      </c>
    </row>
    <row r="8" customFormat="false" ht="15" hidden="false" customHeight="false" outlineLevel="0" collapsed="false">
      <c r="A8" s="1"/>
      <c r="B8" s="4" t="s">
        <v>10</v>
      </c>
      <c r="C8" s="5" t="s">
        <v>11</v>
      </c>
    </row>
    <row r="9" customFormat="false" ht="15" hidden="false" customHeight="false" outlineLevel="0" collapsed="false">
      <c r="A9" s="1"/>
      <c r="B9" s="4" t="s">
        <v>12</v>
      </c>
      <c r="C9" s="5" t="s">
        <v>13</v>
      </c>
    </row>
    <row r="10" customFormat="false" ht="15" hidden="false" customHeight="false" outlineLevel="0" collapsed="false">
      <c r="A10" s="1"/>
      <c r="B10" s="4" t="s">
        <v>14</v>
      </c>
      <c r="C10" s="6" t="str">
        <f aca="false">Checks!D54</f>
        <v>ALL CHECKS OK</v>
      </c>
    </row>
    <row r="11" customFormat="false" ht="15" hidden="false" customHeight="false" outlineLevel="0" collapsed="false">
      <c r="A11" s="1"/>
      <c r="B11" s="1"/>
      <c r="C11" s="5"/>
    </row>
    <row r="12" customFormat="false" ht="15" hidden="false" customHeight="false" outlineLevel="0" collapsed="false">
      <c r="A12" s="1"/>
      <c r="B12" s="4" t="s">
        <v>15</v>
      </c>
      <c r="C12" s="5"/>
    </row>
    <row r="13" customFormat="false" ht="15" hidden="false" customHeight="false" outlineLevel="0" collapsed="false">
      <c r="A13" s="1"/>
      <c r="B13" s="4" t="s">
        <v>16</v>
      </c>
      <c r="C13" s="5" t="s">
        <v>17</v>
      </c>
    </row>
    <row r="14" customFormat="false" ht="15" hidden="false" customHeight="false" outlineLevel="0" collapsed="false">
      <c r="A14" s="1"/>
      <c r="B14" s="4" t="s">
        <v>18</v>
      </c>
      <c r="C14" s="5" t="s">
        <v>19</v>
      </c>
    </row>
    <row r="15" customFormat="false" ht="15" hidden="false" customHeight="false" outlineLevel="0" collapsed="false">
      <c r="A15" s="1"/>
      <c r="B15" s="4" t="s">
        <v>20</v>
      </c>
      <c r="C15" s="5" t="s">
        <v>21</v>
      </c>
    </row>
    <row r="16" customFormat="false" ht="15" hidden="false" customHeight="false" outlineLevel="0" collapsed="false">
      <c r="A16" s="1"/>
      <c r="B16" s="4" t="s">
        <v>22</v>
      </c>
      <c r="C16" s="5" t="s">
        <v>23</v>
      </c>
    </row>
    <row r="17" customFormat="false" ht="15" hidden="false" customHeight="false" outlineLevel="0" collapsed="false">
      <c r="A17" s="1"/>
      <c r="B17" s="4" t="s">
        <v>24</v>
      </c>
      <c r="C17" s="5" t="s">
        <v>25</v>
      </c>
    </row>
    <row r="18" customFormat="false" ht="15" hidden="false" customHeight="false" outlineLevel="0" collapsed="false">
      <c r="A18" s="1"/>
      <c r="B18" s="4" t="s">
        <v>26</v>
      </c>
      <c r="C18" s="5" t="s">
        <v>27</v>
      </c>
    </row>
    <row r="19" customFormat="false" ht="15" hidden="false" customHeight="false" outlineLevel="0" collapsed="false">
      <c r="A19" s="1"/>
      <c r="B19" s="4" t="s">
        <v>28</v>
      </c>
      <c r="C19" s="5" t="s">
        <v>29</v>
      </c>
    </row>
    <row r="20" customFormat="false" ht="15" hidden="false" customHeight="false" outlineLevel="0" collapsed="false">
      <c r="A20" s="1"/>
      <c r="B20" s="4" t="s">
        <v>30</v>
      </c>
      <c r="C20" s="5" t="s">
        <v>31</v>
      </c>
    </row>
    <row r="21" customFormat="false" ht="15" hidden="false" customHeight="false" outlineLevel="0" collapsed="false">
      <c r="A21" s="1"/>
      <c r="B21" s="4" t="s">
        <v>32</v>
      </c>
      <c r="C21" s="5" t="s">
        <v>33</v>
      </c>
    </row>
    <row r="22" customFormat="false" ht="15" hidden="false" customHeight="false" outlineLevel="0" collapsed="false">
      <c r="A22" s="1"/>
      <c r="B22" s="4" t="s">
        <v>34</v>
      </c>
      <c r="C22" s="5" t="s">
        <v>35</v>
      </c>
    </row>
    <row r="23" customFormat="false" ht="15" hidden="false" customHeight="false" outlineLevel="0" collapsed="false">
      <c r="A23" s="1"/>
      <c r="B23" s="4" t="s">
        <v>36</v>
      </c>
      <c r="C23" s="5" t="s">
        <v>37</v>
      </c>
    </row>
    <row r="24" customFormat="false" ht="15" hidden="false" customHeight="false" outlineLevel="0" collapsed="false">
      <c r="A24" s="1"/>
      <c r="B24" s="4" t="s">
        <v>38</v>
      </c>
      <c r="C24" s="5" t="s">
        <v>39</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130"/>
  </cols>
  <sheetData>
    <row r="1" customFormat="false" ht="15" hidden="false" customHeight="false" outlineLevel="0" collapsed="false">
      <c r="A1" s="1"/>
      <c r="B1" s="2" t="s">
        <v>40</v>
      </c>
      <c r="C1" s="1"/>
    </row>
    <row r="2" customFormat="false" ht="15" hidden="false" customHeight="false" outlineLevel="0" collapsed="false">
      <c r="A2" s="1"/>
      <c r="B2" s="3" t="s">
        <v>41</v>
      </c>
      <c r="C2" s="1"/>
    </row>
    <row r="3" customFormat="false" ht="15" hidden="false" customHeight="false" outlineLevel="0" collapsed="false">
      <c r="A3" s="1"/>
      <c r="B3" s="1"/>
      <c r="C3" s="1"/>
    </row>
    <row r="4" customFormat="false" ht="15" hidden="false" customHeight="false" outlineLevel="0" collapsed="false">
      <c r="A4" s="1"/>
      <c r="B4" s="4" t="s">
        <v>42</v>
      </c>
      <c r="C4" s="7" t="s">
        <v>43</v>
      </c>
    </row>
    <row r="5" customFormat="false" ht="22.35" hidden="false" customHeight="false" outlineLevel="0" collapsed="false">
      <c r="A5" s="1"/>
      <c r="B5" s="4" t="s">
        <v>44</v>
      </c>
      <c r="C5" s="7" t="s">
        <v>45</v>
      </c>
    </row>
    <row r="6" customFormat="false" ht="22.35" hidden="false" customHeight="false" outlineLevel="0" collapsed="false">
      <c r="A6" s="1"/>
      <c r="B6" s="4" t="s">
        <v>46</v>
      </c>
      <c r="C6" s="7" t="s">
        <v>47</v>
      </c>
    </row>
    <row r="7" customFormat="false" ht="22.35" hidden="false" customHeight="false" outlineLevel="0" collapsed="false">
      <c r="A7" s="1"/>
      <c r="B7" s="4" t="s">
        <v>48</v>
      </c>
      <c r="C7" s="7" t="s">
        <v>49</v>
      </c>
    </row>
    <row r="8" customFormat="false" ht="22.35" hidden="false" customHeight="false" outlineLevel="0" collapsed="false">
      <c r="A8" s="1"/>
      <c r="B8" s="4" t="s">
        <v>50</v>
      </c>
      <c r="C8" s="7" t="s">
        <v>51</v>
      </c>
    </row>
    <row r="9" customFormat="false" ht="22.35" hidden="false" customHeight="false" outlineLevel="0" collapsed="false">
      <c r="A9" s="1"/>
      <c r="B9" s="4" t="s">
        <v>52</v>
      </c>
      <c r="C9" s="7" t="s">
        <v>53</v>
      </c>
    </row>
    <row r="10" customFormat="false" ht="22.35" hidden="false" customHeight="false" outlineLevel="0" collapsed="false">
      <c r="A10" s="1"/>
      <c r="B10" s="4" t="s">
        <v>54</v>
      </c>
      <c r="C10" s="7" t="s">
        <v>55</v>
      </c>
    </row>
    <row r="11" customFormat="false" ht="22.35" hidden="false" customHeight="false" outlineLevel="0" collapsed="false">
      <c r="A11" s="1"/>
      <c r="B11" s="4" t="s">
        <v>56</v>
      </c>
      <c r="C11" s="7" t="s">
        <v>57</v>
      </c>
    </row>
    <row r="12" customFormat="false" ht="22.35" hidden="false" customHeight="false" outlineLevel="0" collapsed="false">
      <c r="A12" s="1"/>
      <c r="B12" s="4" t="s">
        <v>58</v>
      </c>
      <c r="C12" s="7" t="s">
        <v>59</v>
      </c>
    </row>
    <row r="13" customFormat="false" ht="22.35" hidden="false" customHeight="false" outlineLevel="0" collapsed="false">
      <c r="A13" s="1"/>
      <c r="B13" s="4" t="s">
        <v>60</v>
      </c>
      <c r="C13" s="7" t="s">
        <v>61</v>
      </c>
    </row>
    <row r="14" customFormat="false" ht="15" hidden="false" customHeight="false" outlineLevel="0" collapsed="false">
      <c r="A14" s="1"/>
      <c r="B14" s="4" t="s">
        <v>62</v>
      </c>
      <c r="C14" s="7" t="s">
        <v>63</v>
      </c>
    </row>
    <row r="15" customFormat="false" ht="22.35" hidden="false" customHeight="false" outlineLevel="0" collapsed="false">
      <c r="A15" s="1"/>
      <c r="B15" s="4" t="s">
        <v>64</v>
      </c>
      <c r="C15" s="7" t="s">
        <v>65</v>
      </c>
    </row>
    <row r="16" customFormat="false" ht="22.35" hidden="false" customHeight="false" outlineLevel="0" collapsed="false">
      <c r="A16" s="1"/>
      <c r="B16" s="4" t="s">
        <v>66</v>
      </c>
      <c r="C16" s="7" t="s">
        <v>67</v>
      </c>
    </row>
    <row r="17" customFormat="false" ht="15" hidden="false" customHeight="false" outlineLevel="0" collapsed="false">
      <c r="A17" s="1"/>
      <c r="B17" s="4" t="s">
        <v>68</v>
      </c>
      <c r="C17" s="7" t="s">
        <v>69</v>
      </c>
    </row>
    <row r="18" customFormat="false" ht="15" hidden="false" customHeight="false" outlineLevel="0" collapsed="false">
      <c r="A18" s="1"/>
      <c r="B18" s="4"/>
      <c r="C18" s="7"/>
    </row>
    <row r="19" customFormat="false" ht="15" hidden="false" customHeight="false" outlineLevel="0" collapsed="false">
      <c r="A19" s="1"/>
      <c r="B19" s="4" t="s">
        <v>70</v>
      </c>
      <c r="C19" s="7"/>
    </row>
    <row r="20" customFormat="false" ht="22.35" hidden="false" customHeight="false" outlineLevel="0" collapsed="false">
      <c r="A20" s="1"/>
      <c r="B20" s="4" t="s">
        <v>71</v>
      </c>
      <c r="C20" s="7" t="s">
        <v>72</v>
      </c>
    </row>
    <row r="21" customFormat="false" ht="22.35" hidden="false" customHeight="false" outlineLevel="0" collapsed="false">
      <c r="A21" s="1"/>
      <c r="B21" s="4" t="s">
        <v>73</v>
      </c>
      <c r="C21" s="7" t="s">
        <v>74</v>
      </c>
    </row>
    <row r="22" customFormat="false" ht="32.8" hidden="false" customHeight="false" outlineLevel="0" collapsed="false">
      <c r="A22" s="1"/>
      <c r="B22" s="4" t="s">
        <v>75</v>
      </c>
      <c r="C22" s="7" t="s">
        <v>76</v>
      </c>
    </row>
    <row r="23" customFormat="false" ht="15" hidden="false" customHeight="false" outlineLevel="0" collapsed="false">
      <c r="A23" s="1"/>
      <c r="B23" s="4" t="s">
        <v>77</v>
      </c>
      <c r="C23" s="7" t="s">
        <v>78</v>
      </c>
    </row>
    <row r="24" customFormat="false" ht="15" hidden="false" customHeight="false" outlineLevel="0" collapsed="false">
      <c r="A24" s="1"/>
      <c r="B24" s="4" t="s">
        <v>79</v>
      </c>
      <c r="C24" s="7" t="s">
        <v>80</v>
      </c>
    </row>
    <row r="25" customFormat="false" ht="15" hidden="false" customHeight="false" outlineLevel="0" collapsed="false">
      <c r="A25" s="1"/>
      <c r="B25" s="4" t="s">
        <v>81</v>
      </c>
      <c r="C25" s="7" t="s">
        <v>82</v>
      </c>
    </row>
    <row r="26" customFormat="false" ht="32.8" hidden="false" customHeight="false" outlineLevel="0" collapsed="false">
      <c r="A26" s="1"/>
      <c r="B26" s="4" t="s">
        <v>83</v>
      </c>
      <c r="C26" s="7" t="s">
        <v>84</v>
      </c>
    </row>
    <row r="27" customFormat="false" ht="15" hidden="false" customHeight="false" outlineLevel="0" collapsed="false">
      <c r="A27" s="1"/>
      <c r="B27" s="4" t="s">
        <v>85</v>
      </c>
      <c r="C27" s="7" t="s">
        <v>86</v>
      </c>
    </row>
    <row r="28" customFormat="false" ht="22.35" hidden="false" customHeight="false" outlineLevel="0" collapsed="false">
      <c r="A28" s="1"/>
      <c r="B28" s="4" t="s">
        <v>87</v>
      </c>
      <c r="C28" s="7" t="s">
        <v>88</v>
      </c>
    </row>
    <row r="29" customFormat="false" ht="15" hidden="false" customHeight="false" outlineLevel="0" collapsed="false">
      <c r="A29" s="1"/>
      <c r="B29" s="4" t="s">
        <v>89</v>
      </c>
      <c r="C29" s="7" t="s">
        <v>90</v>
      </c>
    </row>
    <row r="30" customFormat="false" ht="15" hidden="false" customHeight="false" outlineLevel="0" collapsed="false">
      <c r="A30" s="1"/>
      <c r="B30" s="4" t="s">
        <v>91</v>
      </c>
      <c r="C30" s="7" t="s">
        <v>92</v>
      </c>
    </row>
    <row r="31" customFormat="false" ht="15" hidden="false" customHeight="false" outlineLevel="0" collapsed="false">
      <c r="A31" s="1"/>
      <c r="B31" s="4" t="s">
        <v>93</v>
      </c>
      <c r="C31" s="7" t="s">
        <v>94</v>
      </c>
    </row>
    <row r="32" customFormat="false" ht="22.35" hidden="false" customHeight="false" outlineLevel="0" collapsed="false">
      <c r="A32" s="1"/>
      <c r="B32" s="4" t="s">
        <v>95</v>
      </c>
      <c r="C32" s="7" t="s">
        <v>96</v>
      </c>
    </row>
    <row r="33" customFormat="false" ht="15" hidden="false" customHeight="false" outlineLevel="0" collapsed="false">
      <c r="A33" s="1"/>
      <c r="B33" s="4" t="s">
        <v>97</v>
      </c>
      <c r="C33" s="7" t="s">
        <v>98</v>
      </c>
    </row>
    <row r="34" customFormat="false" ht="15" hidden="false" customHeight="false" outlineLevel="0" collapsed="false">
      <c r="A34" s="1"/>
      <c r="B34" s="4" t="s">
        <v>99</v>
      </c>
      <c r="C34" s="7" t="s">
        <v>100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0"/>
    <col collapsed="false" customWidth="true" hidden="false" outlineLevel="0" max="9" min="4" style="0" width="12"/>
    <col collapsed="false" customWidth="true" hidden="false" outlineLevel="0" max="10" min="10" style="0" width="70"/>
  </cols>
  <sheetData>
    <row r="1" customFormat="false" ht="15" hidden="false" customHeight="false" outlineLevel="0" collapsed="false">
      <c r="A1" s="1"/>
      <c r="B1" s="2" t="s">
        <v>101</v>
      </c>
      <c r="C1" s="1"/>
      <c r="D1" s="1"/>
      <c r="E1" s="1"/>
      <c r="F1" s="1"/>
      <c r="G1" s="1"/>
      <c r="H1" s="1"/>
      <c r="I1" s="1"/>
      <c r="J1" s="1"/>
    </row>
    <row r="2" customFormat="false" ht="15" hidden="false" customHeight="false" outlineLevel="0" collapsed="false">
      <c r="A2" s="1"/>
      <c r="B2" s="3" t="s">
        <v>102</v>
      </c>
      <c r="C2" s="1"/>
      <c r="D2" s="1"/>
      <c r="E2" s="1"/>
      <c r="F2" s="1"/>
      <c r="G2" s="1"/>
      <c r="H2" s="1"/>
      <c r="I2" s="1"/>
      <c r="J2" s="1"/>
    </row>
    <row r="3" customFormat="false" ht="15" hidden="false" customHeight="false" outlineLevel="0" collapsed="false">
      <c r="A3" s="1"/>
      <c r="B3" s="5" t="s">
        <v>103</v>
      </c>
      <c r="C3" s="8" t="s">
        <v>104</v>
      </c>
      <c r="D3" s="9" t="n">
        <v>45291</v>
      </c>
      <c r="E3" s="9" t="n">
        <v>45657</v>
      </c>
      <c r="F3" s="9" t="n">
        <v>46022</v>
      </c>
      <c r="G3" s="9" t="n">
        <v>45838</v>
      </c>
      <c r="H3" s="9" t="n">
        <v>46203</v>
      </c>
      <c r="I3" s="9" t="n">
        <v>46203</v>
      </c>
      <c r="J3" s="1"/>
    </row>
    <row r="4" customFormat="false" ht="15" hidden="false" customHeight="false" outlineLevel="0" collapsed="false">
      <c r="A4" s="1"/>
      <c r="B4" s="10"/>
      <c r="C4" s="10" t="s">
        <v>46</v>
      </c>
      <c r="D4" s="11" t="s">
        <v>105</v>
      </c>
      <c r="E4" s="11" t="s">
        <v>106</v>
      </c>
      <c r="F4" s="11" t="s">
        <v>107</v>
      </c>
      <c r="G4" s="11" t="s">
        <v>108</v>
      </c>
      <c r="H4" s="11" t="s">
        <v>109</v>
      </c>
      <c r="I4" s="11" t="s">
        <v>110</v>
      </c>
      <c r="J4" s="10" t="s">
        <v>111</v>
      </c>
    </row>
    <row r="5" customFormat="false" ht="15" hidden="false" customHeight="false" outlineLevel="0" collapsed="false">
      <c r="A5" s="1"/>
      <c r="B5" s="12" t="s">
        <v>112</v>
      </c>
      <c r="C5" s="1"/>
      <c r="D5" s="1"/>
      <c r="E5" s="1"/>
      <c r="F5" s="1"/>
      <c r="G5" s="1"/>
      <c r="H5" s="1"/>
      <c r="I5" s="1"/>
      <c r="J5" s="1"/>
    </row>
    <row r="6" customFormat="false" ht="15" hidden="false" customHeight="false" outlineLevel="0" collapsed="false">
      <c r="A6" s="1"/>
      <c r="B6" s="12" t="s">
        <v>113</v>
      </c>
      <c r="C6" s="1"/>
      <c r="D6" s="1"/>
      <c r="E6" s="1"/>
      <c r="F6" s="1"/>
      <c r="G6" s="1"/>
      <c r="H6" s="1"/>
      <c r="I6" s="1"/>
      <c r="J6" s="1"/>
    </row>
    <row r="7" customFormat="false" ht="15" hidden="false" customHeight="false" outlineLevel="0" collapsed="false">
      <c r="A7" s="1"/>
      <c r="B7" s="13" t="s">
        <v>114</v>
      </c>
      <c r="C7" s="14"/>
      <c r="D7" s="14"/>
      <c r="E7" s="14"/>
      <c r="F7" s="14"/>
      <c r="G7" s="14"/>
      <c r="H7" s="14"/>
      <c r="I7" s="14"/>
      <c r="J7" s="14"/>
    </row>
    <row r="8" customFormat="false" ht="15" hidden="false" customHeight="false" outlineLevel="0" collapsed="false">
      <c r="A8" s="1"/>
      <c r="B8" s="5" t="s">
        <v>115</v>
      </c>
      <c r="C8" s="8" t="s">
        <v>116</v>
      </c>
      <c r="D8" s="1"/>
      <c r="E8" s="15" t="n">
        <v>1135505</v>
      </c>
      <c r="F8" s="15" t="n">
        <v>1227198</v>
      </c>
      <c r="G8" s="15" t="n">
        <v>614760</v>
      </c>
      <c r="H8" s="15" t="n">
        <v>751711</v>
      </c>
      <c r="I8" s="16" t="n">
        <f aca="false">F8+H8-G8</f>
        <v>1364149</v>
      </c>
      <c r="J8" s="3" t="s">
        <v>117</v>
      </c>
    </row>
    <row r="9" customFormat="false" ht="15" hidden="false" customHeight="false" outlineLevel="0" collapsed="false">
      <c r="A9" s="1"/>
      <c r="B9" s="5" t="s">
        <v>118</v>
      </c>
      <c r="C9" s="8" t="s">
        <v>116</v>
      </c>
      <c r="D9" s="1"/>
      <c r="E9" s="15" t="n">
        <v>1628007</v>
      </c>
      <c r="F9" s="15" t="n">
        <v>1889125</v>
      </c>
      <c r="G9" s="15" t="n">
        <v>933217</v>
      </c>
      <c r="H9" s="15" t="n">
        <v>1037965</v>
      </c>
      <c r="I9" s="16" t="n">
        <f aca="false">F9+H9-G9</f>
        <v>1993873</v>
      </c>
      <c r="J9" s="3" t="s">
        <v>119</v>
      </c>
    </row>
    <row r="10" customFormat="false" ht="15" hidden="false" customHeight="false" outlineLevel="0" collapsed="false">
      <c r="A10" s="1"/>
      <c r="B10" s="17" t="s">
        <v>120</v>
      </c>
      <c r="C10" s="8" t="s">
        <v>116</v>
      </c>
      <c r="D10" s="18" t="n">
        <v>2053893</v>
      </c>
      <c r="E10" s="19" t="n">
        <f aca="false">E8+E9</f>
        <v>2763512</v>
      </c>
      <c r="F10" s="19" t="n">
        <f aca="false">F8+F9</f>
        <v>3116323</v>
      </c>
      <c r="G10" s="19" t="n">
        <f aca="false">G8+G9</f>
        <v>1547977</v>
      </c>
      <c r="H10" s="19" t="n">
        <f aca="false">H8+H9</f>
        <v>1789676</v>
      </c>
      <c r="I10" s="19" t="n">
        <f aca="false">F10+H10-G10</f>
        <v>3358022</v>
      </c>
      <c r="J10" s="3" t="s">
        <v>121</v>
      </c>
    </row>
    <row r="11" customFormat="false" ht="15" hidden="false" customHeight="false" outlineLevel="0" collapsed="false">
      <c r="A11" s="1"/>
      <c r="B11" s="5" t="s">
        <v>122</v>
      </c>
      <c r="C11" s="8" t="s">
        <v>123</v>
      </c>
      <c r="D11" s="1"/>
      <c r="E11" s="20" t="n">
        <v>33.3</v>
      </c>
      <c r="F11" s="20" t="n">
        <v>32</v>
      </c>
      <c r="G11" s="20" t="n">
        <v>17.5</v>
      </c>
      <c r="H11" s="20" t="n">
        <v>20.3</v>
      </c>
      <c r="I11" s="21" t="n">
        <f aca="false">F11+H11-G11</f>
        <v>34.8</v>
      </c>
      <c r="J11" s="3" t="s">
        <v>124</v>
      </c>
    </row>
    <row r="12" customFormat="false" ht="15" hidden="false" customHeight="false" outlineLevel="0" collapsed="false">
      <c r="A12" s="1"/>
      <c r="B12" s="5" t="s">
        <v>125</v>
      </c>
      <c r="C12" s="8" t="s">
        <v>123</v>
      </c>
      <c r="D12" s="1"/>
      <c r="E12" s="20" t="n">
        <v>119.2</v>
      </c>
      <c r="F12" s="20" t="n">
        <v>141.2</v>
      </c>
      <c r="G12" s="20" t="n">
        <v>68.5</v>
      </c>
      <c r="H12" s="20" t="n">
        <v>79.3</v>
      </c>
      <c r="I12" s="21" t="n">
        <f aca="false">F12+H12-G12</f>
        <v>152</v>
      </c>
      <c r="J12" s="3" t="s">
        <v>124</v>
      </c>
    </row>
    <row r="13" customFormat="false" ht="15" hidden="false" customHeight="false" outlineLevel="0" collapsed="false">
      <c r="A13" s="1"/>
      <c r="B13" s="5" t="s">
        <v>126</v>
      </c>
      <c r="C13" s="8" t="s">
        <v>123</v>
      </c>
      <c r="D13" s="1"/>
      <c r="E13" s="21" t="n">
        <f aca="false">IF(ISNUMBER(E11),E11+E12,"")</f>
        <v>152.5</v>
      </c>
      <c r="F13" s="21" t="n">
        <f aca="false">IF(ISNUMBER(F11),F11+F12,"")</f>
        <v>173.2</v>
      </c>
      <c r="G13" s="21" t="n">
        <f aca="false">IF(ISNUMBER(G11),G11+G12,"")</f>
        <v>86</v>
      </c>
      <c r="H13" s="21" t="n">
        <f aca="false">IF(ISNUMBER(H11),H11+H12,"")</f>
        <v>99.6</v>
      </c>
      <c r="I13" s="21" t="n">
        <f aca="false">IF(ISNUMBER(I11),I11+I12,"")</f>
        <v>186.8</v>
      </c>
      <c r="J13" s="3" t="s">
        <v>127</v>
      </c>
    </row>
    <row r="14" customFormat="false" ht="15" hidden="false" customHeight="false" outlineLevel="0" collapsed="false">
      <c r="A14" s="1"/>
      <c r="B14" s="5" t="s">
        <v>128</v>
      </c>
      <c r="C14" s="8" t="s">
        <v>123</v>
      </c>
      <c r="D14" s="1"/>
      <c r="E14" s="20" t="n">
        <v>35.5</v>
      </c>
      <c r="F14" s="20" t="n">
        <v>40.8</v>
      </c>
      <c r="G14" s="20" t="n">
        <v>19.9</v>
      </c>
      <c r="H14" s="20" t="n">
        <v>24.4</v>
      </c>
      <c r="I14" s="21" t="n">
        <f aca="false">F14+H14-G14</f>
        <v>45.3</v>
      </c>
      <c r="J14" s="3" t="s">
        <v>129</v>
      </c>
    </row>
    <row r="15" customFormat="false" ht="15" hidden="false" customHeight="false" outlineLevel="0" collapsed="false">
      <c r="A15" s="1"/>
      <c r="B15" s="17" t="s">
        <v>130</v>
      </c>
      <c r="C15" s="8" t="s">
        <v>123</v>
      </c>
      <c r="D15" s="1"/>
      <c r="E15" s="22" t="n">
        <f aca="false">E11+E12+E14</f>
        <v>188</v>
      </c>
      <c r="F15" s="22" t="n">
        <f aca="false">F11+F12+F14</f>
        <v>214</v>
      </c>
      <c r="G15" s="22" t="n">
        <f aca="false">G11+G12+G14</f>
        <v>105.9</v>
      </c>
      <c r="H15" s="22" t="n">
        <f aca="false">H11+H12+H14</f>
        <v>124</v>
      </c>
      <c r="I15" s="22" t="n">
        <f aca="false">F15+H15-G15</f>
        <v>232.1</v>
      </c>
      <c r="J15" s="3" t="s">
        <v>131</v>
      </c>
    </row>
    <row r="16" customFormat="false" ht="15" hidden="false" customHeight="false" outlineLevel="0" collapsed="false">
      <c r="A16" s="1"/>
      <c r="B16" s="5" t="s">
        <v>132</v>
      </c>
      <c r="C16" s="8" t="s">
        <v>133</v>
      </c>
      <c r="D16" s="23" t="n">
        <v>31.7</v>
      </c>
      <c r="E16" s="23" t="n">
        <v>55.18</v>
      </c>
      <c r="F16" s="23" t="n">
        <v>55.59</v>
      </c>
      <c r="G16" s="23" t="n">
        <v>55.55</v>
      </c>
      <c r="H16" s="23" t="n">
        <v>55.65</v>
      </c>
      <c r="I16" s="1"/>
      <c r="J16" s="3" t="s">
        <v>134</v>
      </c>
    </row>
    <row r="17" customFormat="false" ht="15" hidden="false" customHeight="false" outlineLevel="0" collapsed="false">
      <c r="A17" s="1"/>
      <c r="B17" s="5" t="s">
        <v>135</v>
      </c>
      <c r="C17" s="8" t="s">
        <v>133</v>
      </c>
      <c r="D17" s="1"/>
      <c r="E17" s="24" t="n">
        <f aca="false">(E11+E12)*1000000/E10</f>
        <v>55.1834043058253</v>
      </c>
      <c r="F17" s="24" t="n">
        <f aca="false">(F11+F12)*1000000/F10</f>
        <v>55.5783209891914</v>
      </c>
      <c r="G17" s="24" t="n">
        <f aca="false">(G11+G12)*1000000/G10</f>
        <v>55.5563810056609</v>
      </c>
      <c r="H17" s="24" t="n">
        <f aca="false">(H11+H12)*1000000/H10</f>
        <v>55.6525315196717</v>
      </c>
      <c r="I17" s="24" t="n">
        <f aca="false">(I11+I12)*1000000/I10</f>
        <v>55.6279857606651</v>
      </c>
      <c r="J17" s="3" t="s">
        <v>136</v>
      </c>
    </row>
    <row r="18" customFormat="false" ht="15" hidden="false" customHeight="false" outlineLevel="0" collapsed="false">
      <c r="A18" s="1"/>
      <c r="B18" s="5" t="s">
        <v>137</v>
      </c>
      <c r="C18" s="8" t="s">
        <v>133</v>
      </c>
      <c r="D18" s="1"/>
      <c r="E18" s="24" t="n">
        <f aca="false">E15*1000000/E10</f>
        <v>68.0293771114437</v>
      </c>
      <c r="F18" s="24" t="n">
        <f aca="false">F15*1000000/F10</f>
        <v>68.6706737395321</v>
      </c>
      <c r="G18" s="24" t="n">
        <f aca="false">G15*1000000/G10</f>
        <v>68.4118691685988</v>
      </c>
      <c r="H18" s="24" t="n">
        <f aca="false">H15*1000000/H10</f>
        <v>69.286284221278</v>
      </c>
      <c r="I18" s="24" t="n">
        <f aca="false">I15*1000000/I10</f>
        <v>69.1180701019827</v>
      </c>
      <c r="J18" s="1"/>
    </row>
    <row r="19" customFormat="false" ht="15" hidden="false" customHeight="false" outlineLevel="0" collapsed="false">
      <c r="A19" s="1"/>
      <c r="B19" s="13" t="s">
        <v>138</v>
      </c>
      <c r="C19" s="14"/>
      <c r="D19" s="14"/>
      <c r="E19" s="14"/>
      <c r="F19" s="14"/>
      <c r="G19" s="14"/>
      <c r="H19" s="14"/>
      <c r="I19" s="14"/>
      <c r="J19" s="14"/>
    </row>
    <row r="20" customFormat="false" ht="15" hidden="false" customHeight="false" outlineLevel="0" collapsed="false">
      <c r="A20" s="1"/>
      <c r="B20" s="5" t="s">
        <v>139</v>
      </c>
      <c r="C20" s="8" t="s">
        <v>123</v>
      </c>
      <c r="D20" s="20" t="n">
        <v>65.117</v>
      </c>
      <c r="E20" s="20" t="n">
        <v>152.486</v>
      </c>
      <c r="F20" s="20" t="n">
        <v>173.232</v>
      </c>
      <c r="G20" s="1"/>
      <c r="H20" s="1"/>
      <c r="I20" s="1"/>
      <c r="J20" s="3" t="s">
        <v>140</v>
      </c>
    </row>
    <row r="21" customFormat="false" ht="15" hidden="false" customHeight="false" outlineLevel="0" collapsed="false">
      <c r="A21" s="1"/>
      <c r="B21" s="5" t="s">
        <v>141</v>
      </c>
      <c r="C21" s="8" t="s">
        <v>123</v>
      </c>
      <c r="D21" s="20" t="n">
        <v>5.917</v>
      </c>
      <c r="E21" s="20" t="n">
        <v>12.495</v>
      </c>
      <c r="F21" s="20" t="n">
        <v>15.003</v>
      </c>
      <c r="G21" s="1"/>
      <c r="H21" s="1"/>
      <c r="I21" s="1"/>
      <c r="J21" s="1"/>
    </row>
    <row r="22" customFormat="false" ht="15" hidden="false" customHeight="false" outlineLevel="0" collapsed="false">
      <c r="A22" s="1"/>
      <c r="B22" s="5" t="s">
        <v>142</v>
      </c>
      <c r="C22" s="8" t="s">
        <v>123</v>
      </c>
      <c r="D22" s="20" t="n">
        <v>5.306</v>
      </c>
      <c r="E22" s="20" t="n">
        <v>7.892</v>
      </c>
      <c r="F22" s="20" t="n">
        <v>10.504</v>
      </c>
      <c r="G22" s="1"/>
      <c r="H22" s="1"/>
      <c r="I22" s="1"/>
      <c r="J22" s="1"/>
    </row>
    <row r="23" customFormat="false" ht="15" hidden="false" customHeight="false" outlineLevel="0" collapsed="false">
      <c r="A23" s="1"/>
      <c r="B23" s="5" t="s">
        <v>143</v>
      </c>
      <c r="C23" s="8" t="s">
        <v>123</v>
      </c>
      <c r="D23" s="20" t="n">
        <v>11.322</v>
      </c>
      <c r="E23" s="20" t="n">
        <v>15.068</v>
      </c>
      <c r="F23" s="20" t="n">
        <v>15.304</v>
      </c>
      <c r="G23" s="1"/>
      <c r="H23" s="1"/>
      <c r="I23" s="1"/>
      <c r="J23" s="3" t="s">
        <v>144</v>
      </c>
    </row>
    <row r="24" customFormat="false" ht="15" hidden="false" customHeight="false" outlineLevel="0" collapsed="false">
      <c r="A24" s="1"/>
      <c r="B24" s="17" t="s">
        <v>145</v>
      </c>
      <c r="C24" s="8" t="s">
        <v>123</v>
      </c>
      <c r="D24" s="22" t="n">
        <f aca="false">D20+D21+D22+D23</f>
        <v>87.662</v>
      </c>
      <c r="E24" s="22" t="n">
        <f aca="false">E20+E21+E22+E23</f>
        <v>187.941</v>
      </c>
      <c r="F24" s="22" t="n">
        <f aca="false">F20+F21+F22+F23</f>
        <v>214.043</v>
      </c>
      <c r="G24" s="1"/>
      <c r="H24" s="1"/>
      <c r="I24" s="1"/>
      <c r="J24" s="3" t="s">
        <v>146</v>
      </c>
    </row>
    <row r="25" customFormat="false" ht="15" hidden="false" customHeight="false" outlineLevel="0" collapsed="false">
      <c r="A25" s="1"/>
      <c r="B25" s="5" t="s">
        <v>147</v>
      </c>
      <c r="C25" s="8" t="s">
        <v>123</v>
      </c>
      <c r="D25" s="20" t="n">
        <v>28.732</v>
      </c>
      <c r="E25" s="20" t="n">
        <v>39.11</v>
      </c>
      <c r="F25" s="20" t="n">
        <v>39.018</v>
      </c>
      <c r="G25" s="1"/>
      <c r="H25" s="1"/>
      <c r="I25" s="1"/>
      <c r="J25" s="3" t="s">
        <v>148</v>
      </c>
    </row>
    <row r="26" customFormat="false" ht="15" hidden="false" customHeight="false" outlineLevel="0" collapsed="false">
      <c r="A26" s="1"/>
      <c r="B26" s="5" t="s">
        <v>149</v>
      </c>
      <c r="C26" s="8" t="s">
        <v>123</v>
      </c>
      <c r="D26" s="20" t="n">
        <v>13.979</v>
      </c>
      <c r="E26" s="20" t="n">
        <v>32.467</v>
      </c>
      <c r="F26" s="20" t="n">
        <v>33.44</v>
      </c>
      <c r="G26" s="1"/>
      <c r="H26" s="1"/>
      <c r="I26" s="1"/>
      <c r="J26" s="1"/>
    </row>
    <row r="27" customFormat="false" ht="15" hidden="false" customHeight="false" outlineLevel="0" collapsed="false">
      <c r="A27" s="1"/>
      <c r="B27" s="5" t="s">
        <v>150</v>
      </c>
      <c r="C27" s="8" t="s">
        <v>123</v>
      </c>
      <c r="D27" s="20" t="n">
        <v>11.05</v>
      </c>
      <c r="E27" s="20" t="n">
        <v>14.859</v>
      </c>
      <c r="F27" s="20" t="n">
        <v>16.491</v>
      </c>
      <c r="G27" s="1"/>
      <c r="H27" s="1"/>
      <c r="I27" s="1"/>
      <c r="J27" s="1"/>
    </row>
    <row r="28" customFormat="false" ht="15" hidden="false" customHeight="false" outlineLevel="0" collapsed="false">
      <c r="A28" s="1"/>
      <c r="B28" s="5" t="s">
        <v>151</v>
      </c>
      <c r="C28" s="8" t="s">
        <v>123</v>
      </c>
      <c r="D28" s="20" t="n">
        <v>7.806</v>
      </c>
      <c r="E28" s="20" t="n">
        <v>14.027</v>
      </c>
      <c r="F28" s="20" t="n">
        <v>14.305</v>
      </c>
      <c r="G28" s="1"/>
      <c r="H28" s="1"/>
      <c r="I28" s="1"/>
      <c r="J28" s="1"/>
    </row>
    <row r="29" customFormat="false" ht="15" hidden="false" customHeight="false" outlineLevel="0" collapsed="false">
      <c r="A29" s="1"/>
      <c r="B29" s="5" t="s">
        <v>152</v>
      </c>
      <c r="C29" s="8" t="s">
        <v>123</v>
      </c>
      <c r="D29" s="20" t="n">
        <v>43.793</v>
      </c>
      <c r="E29" s="20" t="n">
        <v>56.754</v>
      </c>
      <c r="F29" s="20" t="n">
        <v>38.506</v>
      </c>
      <c r="G29" s="1"/>
      <c r="H29" s="1"/>
      <c r="I29" s="1"/>
      <c r="J29" s="1"/>
    </row>
    <row r="30" customFormat="false" ht="15" hidden="false" customHeight="false" outlineLevel="0" collapsed="false">
      <c r="A30" s="1"/>
      <c r="B30" s="17" t="s">
        <v>153</v>
      </c>
      <c r="C30" s="8" t="s">
        <v>123</v>
      </c>
      <c r="D30" s="22" t="n">
        <f aca="false">D25+D26+D27+D28+D29</f>
        <v>105.36</v>
      </c>
      <c r="E30" s="22" t="n">
        <f aca="false">E25+E26+E27+E28+E29</f>
        <v>157.217</v>
      </c>
      <c r="F30" s="22" t="n">
        <f aca="false">F25+F26+F27+F28+F29</f>
        <v>141.76</v>
      </c>
      <c r="G30" s="1"/>
      <c r="H30" s="1"/>
      <c r="I30" s="1"/>
      <c r="J30" s="1"/>
    </row>
    <row r="31" customFormat="false" ht="15" hidden="false" customHeight="false" outlineLevel="0" collapsed="false">
      <c r="A31" s="1"/>
      <c r="B31" s="17" t="s">
        <v>154</v>
      </c>
      <c r="C31" s="8" t="s">
        <v>123</v>
      </c>
      <c r="D31" s="22" t="n">
        <f aca="false">D24-D30</f>
        <v>-17.698</v>
      </c>
      <c r="E31" s="22" t="n">
        <f aca="false">E24-E30</f>
        <v>30.724</v>
      </c>
      <c r="F31" s="22" t="n">
        <f aca="false">F24-F30</f>
        <v>72.283</v>
      </c>
      <c r="G31" s="1"/>
      <c r="H31" s="1"/>
      <c r="I31" s="1"/>
      <c r="J31" s="3" t="s">
        <v>155</v>
      </c>
    </row>
    <row r="32" customFormat="false" ht="15" hidden="false" customHeight="false" outlineLevel="0" collapsed="false">
      <c r="A32" s="1"/>
      <c r="B32" s="5" t="s">
        <v>156</v>
      </c>
      <c r="C32" s="8" t="s">
        <v>123</v>
      </c>
      <c r="D32" s="20" t="n">
        <v>48.871</v>
      </c>
      <c r="E32" s="20" t="n">
        <v>58.672</v>
      </c>
      <c r="F32" s="20" t="n">
        <v>58.95</v>
      </c>
      <c r="G32" s="1"/>
      <c r="H32" s="1"/>
      <c r="I32" s="1"/>
      <c r="J32" s="3" t="s">
        <v>157</v>
      </c>
    </row>
    <row r="33" customFormat="false" ht="15" hidden="false" customHeight="false" outlineLevel="0" collapsed="false">
      <c r="A33" s="1"/>
      <c r="B33" s="5" t="s">
        <v>158</v>
      </c>
      <c r="C33" s="8" t="s">
        <v>123</v>
      </c>
      <c r="D33" s="25" t="n">
        <v>19.52</v>
      </c>
      <c r="E33" s="25" t="n">
        <v>0.043</v>
      </c>
      <c r="F33" s="25" t="n">
        <v>0.062</v>
      </c>
      <c r="G33" s="1"/>
      <c r="H33" s="1"/>
      <c r="I33" s="1"/>
      <c r="J33" s="1"/>
    </row>
    <row r="34" customFormat="false" ht="15" hidden="false" customHeight="false" outlineLevel="0" collapsed="false">
      <c r="A34" s="1"/>
      <c r="B34" s="17" t="s">
        <v>159</v>
      </c>
      <c r="C34" s="8" t="s">
        <v>123</v>
      </c>
      <c r="D34" s="22" t="n">
        <f aca="false">D31-D32-D33</f>
        <v>-86.089</v>
      </c>
      <c r="E34" s="22" t="n">
        <f aca="false">E31-E32-E33</f>
        <v>-27.991</v>
      </c>
      <c r="F34" s="22" t="n">
        <f aca="false">F31-F32-F33</f>
        <v>13.271</v>
      </c>
      <c r="G34" s="1"/>
      <c r="H34" s="1"/>
      <c r="I34" s="1"/>
      <c r="J34" s="3" t="s">
        <v>160</v>
      </c>
    </row>
    <row r="35" customFormat="false" ht="15" hidden="false" customHeight="false" outlineLevel="0" collapsed="false">
      <c r="A35" s="1"/>
      <c r="B35" s="5" t="s">
        <v>161</v>
      </c>
      <c r="C35" s="8" t="s">
        <v>123</v>
      </c>
      <c r="D35" s="20" t="n">
        <v>70.693</v>
      </c>
      <c r="E35" s="20" t="n">
        <v>125.488</v>
      </c>
      <c r="F35" s="20" t="n">
        <v>140.31</v>
      </c>
      <c r="G35" s="1"/>
      <c r="H35" s="1"/>
      <c r="I35" s="1"/>
      <c r="J35" s="1"/>
    </row>
    <row r="36" customFormat="false" ht="15" hidden="false" customHeight="false" outlineLevel="0" collapsed="false">
      <c r="A36" s="1"/>
      <c r="B36" s="17" t="s">
        <v>162</v>
      </c>
      <c r="C36" s="8" t="s">
        <v>123</v>
      </c>
      <c r="D36" s="22" t="n">
        <f aca="false">D34-D35</f>
        <v>-156.782</v>
      </c>
      <c r="E36" s="22" t="n">
        <f aca="false">E34-E35</f>
        <v>-153.479</v>
      </c>
      <c r="F36" s="22" t="n">
        <f aca="false">F34-F35</f>
        <v>-127.039</v>
      </c>
      <c r="G36" s="1"/>
      <c r="H36" s="1"/>
      <c r="I36" s="1"/>
      <c r="J36" s="3" t="s">
        <v>163</v>
      </c>
    </row>
    <row r="37" customFormat="false" ht="15" hidden="false" customHeight="false" outlineLevel="0" collapsed="false">
      <c r="A37" s="1"/>
      <c r="B37" s="5" t="s">
        <v>164</v>
      </c>
      <c r="C37" s="8" t="s">
        <v>123</v>
      </c>
      <c r="D37" s="20" t="n">
        <v>143.667</v>
      </c>
      <c r="E37" s="20" t="n">
        <v>177.892</v>
      </c>
      <c r="F37" s="20" t="n">
        <v>114.637</v>
      </c>
      <c r="G37" s="1"/>
      <c r="H37" s="1"/>
      <c r="I37" s="1"/>
      <c r="J37" s="1"/>
    </row>
    <row r="38" customFormat="false" ht="15" hidden="false" customHeight="false" outlineLevel="0" collapsed="false">
      <c r="A38" s="1"/>
      <c r="B38" s="5" t="s">
        <v>165</v>
      </c>
      <c r="C38" s="8" t="s">
        <v>123</v>
      </c>
      <c r="D38" s="20" t="n">
        <v>6.109</v>
      </c>
      <c r="E38" s="20" t="n">
        <v>-1.219</v>
      </c>
      <c r="F38" s="20" t="n">
        <v>-8.572</v>
      </c>
      <c r="G38" s="1"/>
      <c r="H38" s="1"/>
      <c r="I38" s="1"/>
      <c r="J38" s="3" t="s">
        <v>166</v>
      </c>
    </row>
    <row r="39" customFormat="false" ht="15" hidden="false" customHeight="false" outlineLevel="0" collapsed="false">
      <c r="A39" s="1"/>
      <c r="B39" s="5" t="s">
        <v>167</v>
      </c>
      <c r="C39" s="8" t="s">
        <v>123</v>
      </c>
      <c r="D39" s="20" t="n">
        <v>0.122</v>
      </c>
      <c r="E39" s="20" t="n">
        <v>218.564</v>
      </c>
      <c r="F39" s="20" t="n">
        <v>0</v>
      </c>
      <c r="G39" s="1"/>
      <c r="H39" s="1"/>
      <c r="I39" s="1"/>
      <c r="J39" s="3" t="s">
        <v>168</v>
      </c>
    </row>
    <row r="40" customFormat="false" ht="15" hidden="false" customHeight="false" outlineLevel="0" collapsed="false">
      <c r="A40" s="1"/>
      <c r="B40" s="17" t="s">
        <v>169</v>
      </c>
      <c r="C40" s="8" t="s">
        <v>123</v>
      </c>
      <c r="D40" s="22" t="n">
        <f aca="false">D36-D37-D38-D39</f>
        <v>-306.68</v>
      </c>
      <c r="E40" s="22" t="n">
        <f aca="false">E36-E37-E38-E39</f>
        <v>-548.716</v>
      </c>
      <c r="F40" s="22" t="n">
        <f aca="false">F36-F37-F38-F39</f>
        <v>-233.104</v>
      </c>
      <c r="G40" s="1"/>
      <c r="H40" s="1"/>
      <c r="I40" s="1"/>
      <c r="J40" s="3" t="s">
        <v>170</v>
      </c>
    </row>
    <row r="41" customFormat="false" ht="15" hidden="false" customHeight="false" outlineLevel="0" collapsed="false">
      <c r="A41" s="1"/>
      <c r="B41" s="5" t="s">
        <v>171</v>
      </c>
      <c r="C41" s="8" t="s">
        <v>123</v>
      </c>
      <c r="D41" s="20" t="n">
        <v>-80.808</v>
      </c>
      <c r="E41" s="20" t="n">
        <v>-196.822</v>
      </c>
      <c r="F41" s="20" t="n">
        <v>-133.545</v>
      </c>
      <c r="G41" s="1"/>
      <c r="H41" s="1"/>
      <c r="I41" s="1"/>
      <c r="J41" s="3" t="s">
        <v>172</v>
      </c>
    </row>
    <row r="42" customFormat="false" ht="15" hidden="false" customHeight="false" outlineLevel="0" collapsed="false">
      <c r="A42" s="1"/>
      <c r="B42" s="5" t="s">
        <v>173</v>
      </c>
      <c r="C42" s="8" t="s">
        <v>123</v>
      </c>
      <c r="D42" s="20" t="n">
        <v>-469.519</v>
      </c>
      <c r="E42" s="20" t="n">
        <v>-252.324</v>
      </c>
      <c r="F42" s="20" t="n">
        <v>-50.207</v>
      </c>
      <c r="G42" s="1"/>
      <c r="H42" s="1"/>
      <c r="I42" s="1"/>
      <c r="J42" s="1"/>
    </row>
    <row r="43" customFormat="false" ht="15" hidden="false" customHeight="false" outlineLevel="0" collapsed="false">
      <c r="A43" s="1"/>
      <c r="B43" s="5" t="s">
        <v>174</v>
      </c>
      <c r="C43" s="8" t="s">
        <v>123</v>
      </c>
      <c r="D43" s="20" t="n">
        <v>368.528</v>
      </c>
      <c r="E43" s="20" t="n">
        <v>683.923</v>
      </c>
      <c r="F43" s="20" t="n">
        <v>33.532</v>
      </c>
      <c r="G43" s="1"/>
      <c r="H43" s="1"/>
      <c r="I43" s="1"/>
      <c r="J43" s="1"/>
    </row>
    <row r="44" customFormat="false" ht="15" hidden="false" customHeight="false" outlineLevel="0" collapsed="false">
      <c r="A44" s="1"/>
      <c r="B44" s="5" t="s">
        <v>175</v>
      </c>
      <c r="C44" s="8" t="s">
        <v>123</v>
      </c>
      <c r="D44" s="20" t="n">
        <v>122.925</v>
      </c>
      <c r="E44" s="20" t="n">
        <v>233.007</v>
      </c>
      <c r="F44" s="20" t="n">
        <v>116.063</v>
      </c>
      <c r="G44" s="1"/>
      <c r="H44" s="1"/>
      <c r="I44" s="1"/>
      <c r="J44" s="3" t="s">
        <v>176</v>
      </c>
    </row>
    <row r="45" customFormat="false" ht="15" hidden="false" customHeight="false" outlineLevel="0" collapsed="false">
      <c r="A45" s="1"/>
      <c r="B45" s="5" t="s">
        <v>177</v>
      </c>
      <c r="C45" s="8" t="s">
        <v>123</v>
      </c>
      <c r="D45" s="20" t="n">
        <v>53.741</v>
      </c>
      <c r="E45" s="20" t="n">
        <v>288.518</v>
      </c>
      <c r="F45" s="20" t="n">
        <v>138.298</v>
      </c>
      <c r="G45" s="1"/>
      <c r="H45" s="1"/>
      <c r="I45" s="1"/>
      <c r="J45" s="1"/>
    </row>
    <row r="46" customFormat="false" ht="15" hidden="false" customHeight="false" outlineLevel="0" collapsed="false">
      <c r="A46" s="1"/>
      <c r="B46" s="5" t="s">
        <v>178</v>
      </c>
      <c r="C46" s="8" t="s">
        <v>123</v>
      </c>
      <c r="D46" s="20" t="n">
        <v>3726.376</v>
      </c>
      <c r="E46" s="20" t="n">
        <v>2219.28</v>
      </c>
      <c r="F46" s="20" t="n">
        <v>2264.28</v>
      </c>
      <c r="G46" s="1"/>
      <c r="H46" s="1"/>
      <c r="I46" s="1"/>
      <c r="J46" s="3" t="s">
        <v>179</v>
      </c>
    </row>
    <row r="47" customFormat="false" ht="15" hidden="false" customHeight="false" outlineLevel="0" collapsed="false">
      <c r="A47" s="1"/>
      <c r="B47" s="1"/>
      <c r="C47" s="1"/>
      <c r="D47" s="1"/>
      <c r="E47" s="1"/>
      <c r="F47" s="1"/>
      <c r="G47" s="1"/>
      <c r="H47" s="1"/>
      <c r="I47" s="1"/>
      <c r="J47" s="1"/>
    </row>
    <row r="48" customFormat="false" ht="15" hidden="false" customHeight="false" outlineLevel="0" collapsed="false">
      <c r="A48" s="1"/>
      <c r="B48" s="3" t="s">
        <v>180</v>
      </c>
      <c r="C48" s="1"/>
      <c r="D48" s="1"/>
      <c r="E48" s="1"/>
      <c r="F48" s="1"/>
      <c r="G48" s="1"/>
      <c r="H48" s="1"/>
      <c r="I48" s="1"/>
      <c r="J48"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3" min="3" style="0" width="10"/>
    <col collapsed="false" customWidth="true" hidden="false" outlineLevel="0" max="13" min="4" style="0" width="12"/>
    <col collapsed="false" customWidth="true" hidden="false" outlineLevel="0" max="14" min="14" style="0" width="66"/>
  </cols>
  <sheetData>
    <row r="1" customFormat="false" ht="15" hidden="false" customHeight="false" outlineLevel="0" collapsed="false">
      <c r="A1" s="1"/>
      <c r="B1" s="2" t="s">
        <v>181</v>
      </c>
      <c r="C1" s="1"/>
      <c r="D1" s="1"/>
      <c r="E1" s="1"/>
      <c r="F1" s="1"/>
      <c r="G1" s="1"/>
      <c r="H1" s="1"/>
      <c r="I1" s="1"/>
      <c r="J1" s="1"/>
      <c r="K1" s="1"/>
      <c r="L1" s="1"/>
      <c r="M1" s="1"/>
      <c r="N1" s="1"/>
    </row>
    <row r="2" customFormat="false" ht="15" hidden="false" customHeight="false" outlineLevel="0" collapsed="false">
      <c r="A2" s="1"/>
      <c r="B2" s="3" t="s">
        <v>182</v>
      </c>
      <c r="C2" s="1"/>
      <c r="D2" s="1"/>
      <c r="E2" s="1"/>
      <c r="F2" s="1"/>
      <c r="G2" s="1"/>
      <c r="H2" s="1"/>
      <c r="I2" s="1"/>
      <c r="J2" s="1"/>
      <c r="K2" s="1"/>
      <c r="L2" s="1"/>
      <c r="M2" s="1"/>
      <c r="N2" s="1"/>
    </row>
    <row r="3" customFormat="false" ht="15" hidden="false" customHeight="false" outlineLevel="0" collapsed="false">
      <c r="A3" s="1"/>
      <c r="B3" s="5" t="s">
        <v>183</v>
      </c>
      <c r="C3" s="8" t="s">
        <v>104</v>
      </c>
      <c r="D3" s="9" t="n">
        <v>45382</v>
      </c>
      <c r="E3" s="9" t="n">
        <v>45473</v>
      </c>
      <c r="F3" s="9" t="n">
        <v>45565</v>
      </c>
      <c r="G3" s="9" t="n">
        <v>45657</v>
      </c>
      <c r="H3" s="9" t="n">
        <v>45747</v>
      </c>
      <c r="I3" s="9" t="n">
        <v>45838</v>
      </c>
      <c r="J3" s="9" t="n">
        <v>45930</v>
      </c>
      <c r="K3" s="9" t="n">
        <v>46022</v>
      </c>
      <c r="L3" s="9" t="n">
        <v>46112</v>
      </c>
      <c r="M3" s="9" t="n">
        <v>46203</v>
      </c>
      <c r="N3" s="1"/>
    </row>
    <row r="4" customFormat="false" ht="15" hidden="false" customHeight="false" outlineLevel="0" collapsed="false">
      <c r="A4" s="1"/>
      <c r="B4" s="10"/>
      <c r="C4" s="10" t="s">
        <v>46</v>
      </c>
      <c r="D4" s="11" t="s">
        <v>184</v>
      </c>
      <c r="E4" s="11" t="s">
        <v>185</v>
      </c>
      <c r="F4" s="11" t="s">
        <v>186</v>
      </c>
      <c r="G4" s="11" t="s">
        <v>187</v>
      </c>
      <c r="H4" s="11" t="s">
        <v>188</v>
      </c>
      <c r="I4" s="11" t="s">
        <v>189</v>
      </c>
      <c r="J4" s="11" t="s">
        <v>190</v>
      </c>
      <c r="K4" s="11" t="s">
        <v>191</v>
      </c>
      <c r="L4" s="11" t="s">
        <v>192</v>
      </c>
      <c r="M4" s="11" t="s">
        <v>193</v>
      </c>
      <c r="N4" s="10" t="s">
        <v>111</v>
      </c>
    </row>
    <row r="5" customFormat="false" ht="15" hidden="false" customHeight="false" outlineLevel="0" collapsed="false">
      <c r="A5" s="1"/>
      <c r="B5" s="12" t="s">
        <v>194</v>
      </c>
      <c r="C5" s="1"/>
      <c r="D5" s="1"/>
      <c r="E5" s="1"/>
      <c r="F5" s="1"/>
      <c r="G5" s="1"/>
      <c r="H5" s="1"/>
      <c r="I5" s="1"/>
      <c r="J5" s="1"/>
      <c r="K5" s="1"/>
      <c r="L5" s="1"/>
      <c r="M5" s="1"/>
      <c r="N5" s="1"/>
    </row>
    <row r="6" customFormat="false" ht="15" hidden="false" customHeight="false" outlineLevel="0" collapsed="false">
      <c r="A6" s="1"/>
      <c r="B6" s="5" t="s">
        <v>195</v>
      </c>
      <c r="C6" s="8" t="s">
        <v>116</v>
      </c>
      <c r="D6" s="16" t="n">
        <f aca="false">'Exhibit 3'!$D$7-'Exhibit 3'!$D$8</f>
        <v>722708</v>
      </c>
      <c r="E6" s="26" t="n">
        <f aca="false">'Exhibit 3'!$D$9</f>
        <v>1401077</v>
      </c>
      <c r="F6" s="26" t="n">
        <f aca="false">'Exhibit 3'!$D$10</f>
        <v>2035013</v>
      </c>
      <c r="G6" s="26" t="n">
        <f aca="false">'Exhibit 3'!$D$11</f>
        <v>2763512</v>
      </c>
      <c r="H6" s="26" t="n">
        <f aca="false">'Exhibit 3'!$D$12</f>
        <v>793432</v>
      </c>
      <c r="I6" s="26" t="n">
        <f aca="false">'Exhibit 3'!$D$13</f>
        <v>1547977</v>
      </c>
      <c r="J6" s="26" t="n">
        <f aca="false">'Exhibit 3'!$D$14</f>
        <v>2283725</v>
      </c>
      <c r="K6" s="26" t="n">
        <f aca="false">'Exhibit 3'!$D$17</f>
        <v>3116323</v>
      </c>
      <c r="L6" s="26" t="n">
        <f aca="false">'Exhibit 3'!$D$18</f>
        <v>900434</v>
      </c>
      <c r="M6" s="26" t="n">
        <f aca="false">'Exhibit 3'!$D$19</f>
        <v>1789676</v>
      </c>
      <c r="N6" s="3" t="s">
        <v>196</v>
      </c>
    </row>
    <row r="7" customFormat="false" ht="15" hidden="false" customHeight="false" outlineLevel="0" collapsed="false">
      <c r="A7" s="1"/>
      <c r="B7" s="5" t="s">
        <v>197</v>
      </c>
      <c r="C7" s="8" t="s">
        <v>123</v>
      </c>
      <c r="D7" s="21" t="n">
        <f aca="false">'Exhibit 3'!$E$7-'Exhibit 3'!$E$8</f>
        <v>48.9</v>
      </c>
      <c r="E7" s="27" t="n">
        <f aca="false">'Exhibit 3'!$E$9</f>
        <v>94.8</v>
      </c>
      <c r="F7" s="27" t="n">
        <f aca="false">'Exhibit 3'!$E$10</f>
        <v>137.7</v>
      </c>
      <c r="G7" s="27" t="n">
        <f aca="false">'Exhibit 3'!$E$11</f>
        <v>187.9</v>
      </c>
      <c r="H7" s="27" t="n">
        <f aca="false">'Exhibit 3'!$E$12</f>
        <v>54.6</v>
      </c>
      <c r="I7" s="27" t="n">
        <f aca="false">'Exhibit 3'!$E$13</f>
        <v>105.9</v>
      </c>
      <c r="J7" s="27" t="n">
        <f aca="false">'Exhibit 3'!$E$14</f>
        <v>155.9</v>
      </c>
      <c r="K7" s="27" t="n">
        <f aca="false">'Exhibit 3'!$E$17</f>
        <v>214</v>
      </c>
      <c r="L7" s="27" t="n">
        <f aca="false">'Exhibit 3'!$E$18</f>
        <v>61.2</v>
      </c>
      <c r="M7" s="27" t="n">
        <f aca="false">'Exhibit 3'!$E$19</f>
        <v>124</v>
      </c>
      <c r="N7" s="3" t="s">
        <v>198</v>
      </c>
    </row>
    <row r="8" customFormat="false" ht="15" hidden="false" customHeight="false" outlineLevel="0" collapsed="false">
      <c r="A8" s="1"/>
      <c r="B8" s="17" t="s">
        <v>199</v>
      </c>
      <c r="C8" s="8" t="s">
        <v>116</v>
      </c>
      <c r="D8" s="19" t="n">
        <f aca="false">D6</f>
        <v>722708</v>
      </c>
      <c r="E8" s="19" t="n">
        <f aca="false">E6-D6</f>
        <v>678369</v>
      </c>
      <c r="F8" s="19" t="n">
        <f aca="false">F6-E6</f>
        <v>633936</v>
      </c>
      <c r="G8" s="19" t="n">
        <f aca="false">G6-F6</f>
        <v>728499</v>
      </c>
      <c r="H8" s="19" t="n">
        <f aca="false">H6</f>
        <v>793432</v>
      </c>
      <c r="I8" s="19" t="n">
        <f aca="false">I6-H6</f>
        <v>754545</v>
      </c>
      <c r="J8" s="19" t="n">
        <f aca="false">J6-I6</f>
        <v>735748</v>
      </c>
      <c r="K8" s="19" t="n">
        <f aca="false">K6-J6</f>
        <v>832598</v>
      </c>
      <c r="L8" s="19" t="n">
        <f aca="false">L6</f>
        <v>900434</v>
      </c>
      <c r="M8" s="19" t="n">
        <f aca="false">M6-L6</f>
        <v>889242</v>
      </c>
      <c r="N8" s="3" t="s">
        <v>200</v>
      </c>
    </row>
    <row r="9" customFormat="false" ht="15" hidden="false" customHeight="false" outlineLevel="0" collapsed="false">
      <c r="A9" s="1"/>
      <c r="B9" s="17" t="s">
        <v>201</v>
      </c>
      <c r="C9" s="8" t="s">
        <v>123</v>
      </c>
      <c r="D9" s="22" t="n">
        <f aca="false">D7</f>
        <v>48.9</v>
      </c>
      <c r="E9" s="22" t="n">
        <f aca="false">E7-D7</f>
        <v>45.9</v>
      </c>
      <c r="F9" s="22" t="n">
        <f aca="false">F7-E7</f>
        <v>42.9</v>
      </c>
      <c r="G9" s="22" t="n">
        <f aca="false">G7-F7</f>
        <v>50.2</v>
      </c>
      <c r="H9" s="22" t="n">
        <f aca="false">H7</f>
        <v>54.6</v>
      </c>
      <c r="I9" s="22" t="n">
        <f aca="false">I7-H7</f>
        <v>51.3</v>
      </c>
      <c r="J9" s="22" t="n">
        <f aca="false">J7-I7</f>
        <v>50</v>
      </c>
      <c r="K9" s="22" t="n">
        <f aca="false">K7-J7</f>
        <v>58.1</v>
      </c>
      <c r="L9" s="22" t="n">
        <f aca="false">L7</f>
        <v>61.2</v>
      </c>
      <c r="M9" s="22" t="n">
        <f aca="false">M7-L7</f>
        <v>62.8</v>
      </c>
      <c r="N9" s="3" t="s">
        <v>202</v>
      </c>
    </row>
    <row r="10" customFormat="false" ht="15" hidden="false" customHeight="false" outlineLevel="0" collapsed="false">
      <c r="A10" s="1"/>
      <c r="B10" s="5" t="s">
        <v>203</v>
      </c>
      <c r="C10" s="8" t="s">
        <v>133</v>
      </c>
      <c r="D10" s="24" t="n">
        <f aca="false">D9*1000000/D8</f>
        <v>67.6621816833355</v>
      </c>
      <c r="E10" s="24" t="n">
        <f aca="false">E9*1000000/E8</f>
        <v>67.6622899926147</v>
      </c>
      <c r="F10" s="24" t="n">
        <f aca="false">F9*1000000/F8</f>
        <v>67.6724464299235</v>
      </c>
      <c r="G10" s="24" t="n">
        <f aca="false">G9*1000000/G8</f>
        <v>68.9088111308321</v>
      </c>
      <c r="H10" s="24" t="n">
        <f aca="false">H9*1000000/H8</f>
        <v>68.8149709111808</v>
      </c>
      <c r="I10" s="24" t="n">
        <f aca="false">I9*1000000/I8</f>
        <v>67.9879927638511</v>
      </c>
      <c r="J10" s="24" t="n">
        <f aca="false">J9*1000000/J8</f>
        <v>67.9580508543686</v>
      </c>
      <c r="K10" s="24" t="n">
        <f aca="false">K9*1000000/K8</f>
        <v>69.7815752620112</v>
      </c>
      <c r="L10" s="24" t="n">
        <f aca="false">L9*1000000/L8</f>
        <v>67.9672246938698</v>
      </c>
      <c r="M10" s="24" t="n">
        <f aca="false">M9*1000000/M8</f>
        <v>70.6219454321771</v>
      </c>
      <c r="N10" s="1"/>
    </row>
    <row r="11" customFormat="false" ht="15" hidden="false" customHeight="false" outlineLevel="0" collapsed="false">
      <c r="A11" s="1"/>
      <c r="B11" s="5" t="s">
        <v>204</v>
      </c>
      <c r="C11" s="8" t="s">
        <v>205</v>
      </c>
      <c r="D11" s="1"/>
      <c r="E11" s="1"/>
      <c r="F11" s="1"/>
      <c r="G11" s="1"/>
      <c r="H11" s="28" t="n">
        <f aca="false">H8/D8-1</f>
        <v>0.0978597165106794</v>
      </c>
      <c r="I11" s="28" t="n">
        <f aca="false">I8/E8-1</f>
        <v>0.112292867156371</v>
      </c>
      <c r="J11" s="28" t="n">
        <f aca="false">J8/F8-1</f>
        <v>0.160602963075137</v>
      </c>
      <c r="K11" s="28" t="n">
        <f aca="false">K8/G8-1</f>
        <v>0.142895185854751</v>
      </c>
      <c r="L11" s="28" t="n">
        <f aca="false">L8/H8-1</f>
        <v>0.134859698121578</v>
      </c>
      <c r="M11" s="28" t="n">
        <f aca="false">M8/I8-1</f>
        <v>0.178514203924219</v>
      </c>
      <c r="N11" s="1"/>
    </row>
    <row r="12" customFormat="false" ht="15" hidden="false" customHeight="false" outlineLevel="0" collapsed="false">
      <c r="A12" s="1"/>
      <c r="B12" s="5" t="s">
        <v>206</v>
      </c>
      <c r="C12" s="8" t="s">
        <v>205</v>
      </c>
      <c r="D12" s="1"/>
      <c r="E12" s="1"/>
      <c r="F12" s="1"/>
      <c r="G12" s="1"/>
      <c r="H12" s="28" t="n">
        <f aca="false">H9/D9-1</f>
        <v>0.116564417177914</v>
      </c>
      <c r="I12" s="28" t="n">
        <f aca="false">I9/E9-1</f>
        <v>0.117647058823529</v>
      </c>
      <c r="J12" s="28" t="n">
        <f aca="false">J9/F9-1</f>
        <v>0.165501165501166</v>
      </c>
      <c r="K12" s="28" t="n">
        <f aca="false">K9/G9-1</f>
        <v>0.157370517928286</v>
      </c>
      <c r="L12" s="28" t="n">
        <f aca="false">L9/H9-1</f>
        <v>0.120879120879121</v>
      </c>
      <c r="M12" s="28" t="n">
        <f aca="false">M9/I9-1</f>
        <v>0.224171539961014</v>
      </c>
      <c r="N12" s="1"/>
    </row>
    <row r="13" customFormat="false" ht="15" hidden="false" customHeight="false" outlineLevel="0" collapsed="false">
      <c r="A13" s="1"/>
      <c r="B13" s="5" t="s">
        <v>207</v>
      </c>
      <c r="C13" s="8" t="s">
        <v>123</v>
      </c>
      <c r="D13" s="21" t="n">
        <f aca="false">D9*4</f>
        <v>195.6</v>
      </c>
      <c r="E13" s="21" t="n">
        <f aca="false">E9*4</f>
        <v>183.6</v>
      </c>
      <c r="F13" s="21" t="n">
        <f aca="false">F9*4</f>
        <v>171.6</v>
      </c>
      <c r="G13" s="21" t="n">
        <f aca="false">G9*4</f>
        <v>200.8</v>
      </c>
      <c r="H13" s="21" t="n">
        <f aca="false">H9*4</f>
        <v>218.4</v>
      </c>
      <c r="I13" s="21" t="n">
        <f aca="false">I9*4</f>
        <v>205.2</v>
      </c>
      <c r="J13" s="21" t="n">
        <f aca="false">J9*4</f>
        <v>200</v>
      </c>
      <c r="K13" s="21" t="n">
        <f aca="false">K9*4</f>
        <v>232.4</v>
      </c>
      <c r="L13" s="21" t="n">
        <f aca="false">L9*4</f>
        <v>244.8</v>
      </c>
      <c r="M13" s="21" t="n">
        <f aca="false">M9*4</f>
        <v>251.2</v>
      </c>
      <c r="N13" s="3" t="s">
        <v>208</v>
      </c>
    </row>
    <row r="14" customFormat="false" ht="15" hidden="false" customHeight="false" outlineLevel="0" collapsed="false">
      <c r="A14" s="1"/>
      <c r="B14" s="5" t="s">
        <v>209</v>
      </c>
      <c r="C14" s="8" t="s">
        <v>210</v>
      </c>
      <c r="D14" s="15" t="n">
        <v>91</v>
      </c>
      <c r="E14" s="15" t="n">
        <v>91</v>
      </c>
      <c r="F14" s="15" t="n">
        <v>92</v>
      </c>
      <c r="G14" s="15" t="n">
        <v>92</v>
      </c>
      <c r="H14" s="15" t="n">
        <v>90</v>
      </c>
      <c r="I14" s="15" t="n">
        <v>91</v>
      </c>
      <c r="J14" s="15" t="n">
        <v>92</v>
      </c>
      <c r="K14" s="15" t="n">
        <v>92</v>
      </c>
      <c r="L14" s="15" t="n">
        <v>90</v>
      </c>
      <c r="M14" s="15" t="n">
        <v>91</v>
      </c>
      <c r="N14" s="1"/>
    </row>
    <row r="15" customFormat="false" ht="15" hidden="false" customHeight="false" outlineLevel="0" collapsed="false">
      <c r="A15" s="1"/>
      <c r="B15" s="8" t="s">
        <v>211</v>
      </c>
      <c r="C15" s="1"/>
      <c r="D15" s="1"/>
      <c r="E15" s="1"/>
      <c r="F15" s="1"/>
      <c r="G15" s="1"/>
      <c r="H15" s="1"/>
      <c r="I15" s="1"/>
      <c r="J15" s="1"/>
      <c r="K15" s="1"/>
      <c r="L15" s="1"/>
      <c r="M15" s="1"/>
      <c r="N15" s="1"/>
    </row>
    <row r="16" customFormat="false" ht="15" hidden="false" customHeight="false" outlineLevel="0" collapsed="false">
      <c r="A16" s="1"/>
      <c r="B16" s="1"/>
      <c r="C16" s="1"/>
      <c r="D16" s="1"/>
      <c r="E16" s="1"/>
      <c r="F16" s="1"/>
      <c r="G16" s="1"/>
      <c r="H16" s="1"/>
      <c r="I16" s="1"/>
      <c r="J16" s="1"/>
      <c r="K16" s="1"/>
      <c r="L16" s="1"/>
      <c r="M16" s="1"/>
      <c r="N16" s="1"/>
    </row>
    <row r="17" customFormat="false" ht="15" hidden="false" customHeight="false" outlineLevel="0" collapsed="false">
      <c r="A17" s="1"/>
      <c r="B17" s="3" t="s">
        <v>212</v>
      </c>
      <c r="C17" s="1"/>
      <c r="D17" s="1"/>
      <c r="E17" s="1"/>
      <c r="F17" s="1"/>
      <c r="G17" s="1"/>
      <c r="H17" s="1"/>
      <c r="I17" s="1"/>
      <c r="J17" s="1"/>
      <c r="K17" s="1"/>
      <c r="L17" s="1"/>
      <c r="M17" s="1"/>
      <c r="N17"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66"/>
    <col collapsed="false" customWidth="true" hidden="false" outlineLevel="0" max="3" min="3" style="0" width="10"/>
    <col collapsed="false" customWidth="true" hidden="false" outlineLevel="0" max="5" min="4" style="0" width="14"/>
    <col collapsed="false" customWidth="true" hidden="false" outlineLevel="0" max="6" min="6" style="0" width="72"/>
  </cols>
  <sheetData>
    <row r="1" customFormat="false" ht="15" hidden="false" customHeight="false" outlineLevel="0" collapsed="false">
      <c r="A1" s="1"/>
      <c r="B1" s="2" t="s">
        <v>213</v>
      </c>
      <c r="C1" s="1"/>
      <c r="D1" s="1"/>
      <c r="E1" s="1"/>
      <c r="F1" s="1"/>
    </row>
    <row r="2" customFormat="false" ht="15" hidden="false" customHeight="false" outlineLevel="0" collapsed="false">
      <c r="A2" s="1"/>
      <c r="B2" s="3" t="s">
        <v>214</v>
      </c>
      <c r="C2" s="1"/>
      <c r="D2" s="1"/>
      <c r="E2" s="1"/>
      <c r="F2" s="1"/>
    </row>
    <row r="3" customFormat="false" ht="15" hidden="false" customHeight="false" outlineLevel="0" collapsed="false">
      <c r="A3" s="1"/>
      <c r="B3" s="1"/>
      <c r="C3" s="1"/>
      <c r="D3" s="1"/>
      <c r="E3" s="1"/>
      <c r="F3" s="1"/>
    </row>
    <row r="4" customFormat="false" ht="15" hidden="false" customHeight="false" outlineLevel="0" collapsed="false">
      <c r="A4" s="1"/>
      <c r="B4" s="10"/>
      <c r="C4" s="10" t="s">
        <v>46</v>
      </c>
      <c r="D4" s="11" t="s">
        <v>215</v>
      </c>
      <c r="E4" s="11" t="s">
        <v>216</v>
      </c>
      <c r="F4" s="10" t="s">
        <v>111</v>
      </c>
    </row>
    <row r="5" customFormat="false" ht="15" hidden="false" customHeight="false" outlineLevel="0" collapsed="false">
      <c r="A5" s="1"/>
      <c r="B5" s="12" t="s">
        <v>217</v>
      </c>
      <c r="C5" s="1"/>
      <c r="D5" s="1"/>
      <c r="E5" s="1"/>
      <c r="F5" s="1"/>
    </row>
    <row r="6" customFormat="false" ht="15" hidden="false" customHeight="false" outlineLevel="0" collapsed="false">
      <c r="A6" s="1"/>
      <c r="B6" s="13" t="s">
        <v>218</v>
      </c>
      <c r="C6" s="14"/>
      <c r="D6" s="14"/>
      <c r="E6" s="14"/>
      <c r="F6" s="14"/>
    </row>
    <row r="7" customFormat="false" ht="15" hidden="false" customHeight="false" outlineLevel="0" collapsed="false">
      <c r="A7" s="1"/>
      <c r="B7" s="5" t="s">
        <v>219</v>
      </c>
      <c r="C7" s="8" t="s">
        <v>220</v>
      </c>
      <c r="D7" s="15" t="n">
        <v>945825</v>
      </c>
      <c r="E7" s="20" t="n">
        <v>64.1</v>
      </c>
      <c r="F7" s="3" t="s">
        <v>221</v>
      </c>
    </row>
    <row r="8" customFormat="false" ht="15" hidden="false" customHeight="false" outlineLevel="0" collapsed="false">
      <c r="A8" s="1"/>
      <c r="B8" s="5" t="s">
        <v>222</v>
      </c>
      <c r="C8" s="8" t="s">
        <v>220</v>
      </c>
      <c r="D8" s="15" t="n">
        <v>223117</v>
      </c>
      <c r="E8" s="20" t="n">
        <v>15.2</v>
      </c>
      <c r="F8" s="3" t="s">
        <v>221</v>
      </c>
    </row>
    <row r="9" customFormat="false" ht="15" hidden="false" customHeight="false" outlineLevel="0" collapsed="false">
      <c r="A9" s="1"/>
      <c r="B9" s="5" t="s">
        <v>223</v>
      </c>
      <c r="C9" s="8" t="s">
        <v>220</v>
      </c>
      <c r="D9" s="15" t="n">
        <v>1401077</v>
      </c>
      <c r="E9" s="20" t="n">
        <v>94.8</v>
      </c>
      <c r="F9" s="3" t="s">
        <v>224</v>
      </c>
    </row>
    <row r="10" customFormat="false" ht="15" hidden="false" customHeight="false" outlineLevel="0" collapsed="false">
      <c r="A10" s="1"/>
      <c r="B10" s="5" t="s">
        <v>225</v>
      </c>
      <c r="C10" s="8" t="s">
        <v>220</v>
      </c>
      <c r="D10" s="15" t="n">
        <v>2035013</v>
      </c>
      <c r="E10" s="20" t="n">
        <v>137.7</v>
      </c>
      <c r="F10" s="3" t="s">
        <v>226</v>
      </c>
    </row>
    <row r="11" customFormat="false" ht="15" hidden="false" customHeight="false" outlineLevel="0" collapsed="false">
      <c r="A11" s="1"/>
      <c r="B11" s="5" t="s">
        <v>227</v>
      </c>
      <c r="C11" s="8" t="s">
        <v>220</v>
      </c>
      <c r="D11" s="15" t="n">
        <v>2763512</v>
      </c>
      <c r="E11" s="20" t="n">
        <v>187.9</v>
      </c>
      <c r="F11" s="3" t="s">
        <v>228</v>
      </c>
    </row>
    <row r="12" customFormat="false" ht="15" hidden="false" customHeight="false" outlineLevel="0" collapsed="false">
      <c r="A12" s="1"/>
      <c r="B12" s="5" t="s">
        <v>229</v>
      </c>
      <c r="C12" s="8" t="s">
        <v>220</v>
      </c>
      <c r="D12" s="15" t="n">
        <v>793432</v>
      </c>
      <c r="E12" s="20" t="n">
        <v>54.6</v>
      </c>
      <c r="F12" s="3" t="s">
        <v>230</v>
      </c>
    </row>
    <row r="13" customFormat="false" ht="15" hidden="false" customHeight="false" outlineLevel="0" collapsed="false">
      <c r="A13" s="1"/>
      <c r="B13" s="5" t="s">
        <v>231</v>
      </c>
      <c r="C13" s="8" t="s">
        <v>220</v>
      </c>
      <c r="D13" s="15" t="n">
        <v>1547977</v>
      </c>
      <c r="E13" s="20" t="n">
        <v>105.9</v>
      </c>
      <c r="F13" s="3" t="s">
        <v>232</v>
      </c>
    </row>
    <row r="14" customFormat="false" ht="15" hidden="false" customHeight="false" outlineLevel="0" collapsed="false">
      <c r="A14" s="1"/>
      <c r="B14" s="5" t="s">
        <v>233</v>
      </c>
      <c r="C14" s="8" t="s">
        <v>220</v>
      </c>
      <c r="D14" s="15" t="n">
        <v>2283725</v>
      </c>
      <c r="E14" s="20" t="n">
        <v>155.9</v>
      </c>
      <c r="F14" s="3" t="s">
        <v>234</v>
      </c>
    </row>
    <row r="15" customFormat="false" ht="15" hidden="false" customHeight="false" outlineLevel="0" collapsed="false">
      <c r="A15" s="1"/>
      <c r="B15" s="5" t="s">
        <v>235</v>
      </c>
      <c r="C15" s="8" t="s">
        <v>220</v>
      </c>
      <c r="D15" s="15" t="n">
        <v>2544095</v>
      </c>
      <c r="E15" s="20" t="n">
        <v>173.4</v>
      </c>
      <c r="F15" s="3" t="s">
        <v>236</v>
      </c>
    </row>
    <row r="16" customFormat="false" ht="15" hidden="false" customHeight="false" outlineLevel="0" collapsed="false">
      <c r="A16" s="1"/>
      <c r="B16" s="5" t="s">
        <v>237</v>
      </c>
      <c r="C16" s="8" t="s">
        <v>220</v>
      </c>
      <c r="D16" s="15" t="n">
        <v>260370</v>
      </c>
      <c r="E16" s="20" t="n">
        <v>17.5</v>
      </c>
      <c r="F16" s="3" t="s">
        <v>236</v>
      </c>
    </row>
    <row r="17" customFormat="false" ht="15" hidden="false" customHeight="false" outlineLevel="0" collapsed="false">
      <c r="A17" s="1"/>
      <c r="B17" s="5" t="s">
        <v>238</v>
      </c>
      <c r="C17" s="8" t="s">
        <v>220</v>
      </c>
      <c r="D17" s="15" t="n">
        <v>3116323</v>
      </c>
      <c r="E17" s="20" t="n">
        <v>214</v>
      </c>
      <c r="F17" s="3" t="s">
        <v>228</v>
      </c>
    </row>
    <row r="18" customFormat="false" ht="15" hidden="false" customHeight="false" outlineLevel="0" collapsed="false">
      <c r="A18" s="1"/>
      <c r="B18" s="5" t="s">
        <v>239</v>
      </c>
      <c r="C18" s="8" t="s">
        <v>220</v>
      </c>
      <c r="D18" s="15" t="n">
        <v>900434</v>
      </c>
      <c r="E18" s="20" t="n">
        <v>61.2</v>
      </c>
      <c r="F18" s="3" t="s">
        <v>230</v>
      </c>
    </row>
    <row r="19" customFormat="false" ht="15" hidden="false" customHeight="false" outlineLevel="0" collapsed="false">
      <c r="A19" s="1"/>
      <c r="B19" s="5" t="s">
        <v>240</v>
      </c>
      <c r="C19" s="8" t="s">
        <v>220</v>
      </c>
      <c r="D19" s="15" t="n">
        <v>1789676</v>
      </c>
      <c r="E19" s="20" t="n">
        <v>124</v>
      </c>
      <c r="F19" s="3" t="s">
        <v>241</v>
      </c>
    </row>
    <row r="20" customFormat="false" ht="15" hidden="false" customHeight="false" outlineLevel="0" collapsed="false">
      <c r="A20" s="1"/>
      <c r="B20" s="5" t="s">
        <v>242</v>
      </c>
      <c r="C20" s="8" t="s">
        <v>220</v>
      </c>
      <c r="D20" s="15" t="n">
        <v>1803449</v>
      </c>
      <c r="E20" s="20" t="n">
        <v>123.1</v>
      </c>
      <c r="F20" s="3" t="s">
        <v>243</v>
      </c>
    </row>
    <row r="21" customFormat="false" ht="15" hidden="false" customHeight="false" outlineLevel="0" collapsed="false">
      <c r="A21" s="1"/>
      <c r="B21" s="5" t="s">
        <v>244</v>
      </c>
      <c r="C21" s="8" t="s">
        <v>220</v>
      </c>
      <c r="D21" s="15" t="n">
        <v>2079064</v>
      </c>
      <c r="E21" s="20" t="n">
        <v>143.4</v>
      </c>
      <c r="F21" s="3" t="s">
        <v>243</v>
      </c>
    </row>
    <row r="22" customFormat="false" ht="15" hidden="false" customHeight="false" outlineLevel="0" collapsed="false">
      <c r="A22" s="1"/>
      <c r="B22" s="17" t="s">
        <v>245</v>
      </c>
      <c r="C22" s="8" t="s">
        <v>220</v>
      </c>
      <c r="D22" s="19" t="n">
        <f aca="false">D17+D21-D20</f>
        <v>3391938</v>
      </c>
      <c r="E22" s="22" t="n">
        <f aca="false">E17+E21-E20</f>
        <v>234.3</v>
      </c>
      <c r="F22" s="3" t="s">
        <v>127</v>
      </c>
    </row>
    <row r="23" customFormat="false" ht="15" hidden="false" customHeight="false" outlineLevel="0" collapsed="false">
      <c r="A23" s="1"/>
      <c r="B23" s="5" t="s">
        <v>246</v>
      </c>
      <c r="C23" s="8" t="s">
        <v>220</v>
      </c>
      <c r="D23" s="16" t="n">
        <f aca="false">D21*12/7</f>
        <v>3564109.71428571</v>
      </c>
      <c r="E23" s="21" t="n">
        <f aca="false">E21*12/7</f>
        <v>245.828571428571</v>
      </c>
      <c r="F23" s="3" t="s">
        <v>247</v>
      </c>
    </row>
    <row r="24" customFormat="false" ht="15" hidden="false" customHeight="false" outlineLevel="0" collapsed="false">
      <c r="A24" s="1"/>
      <c r="B24" s="5" t="s">
        <v>248</v>
      </c>
      <c r="C24" s="8" t="s">
        <v>249</v>
      </c>
      <c r="D24" s="15" t="n">
        <v>3600000</v>
      </c>
      <c r="E24" s="1"/>
      <c r="F24" s="3" t="s">
        <v>250</v>
      </c>
    </row>
    <row r="25" customFormat="false" ht="15" hidden="false" customHeight="false" outlineLevel="0" collapsed="false">
      <c r="A25" s="1"/>
      <c r="B25" s="1"/>
      <c r="C25" s="1"/>
      <c r="D25" s="1"/>
      <c r="E25" s="1"/>
      <c r="F25" s="1"/>
    </row>
    <row r="26" customFormat="false" ht="15" hidden="false" customHeight="false" outlineLevel="0" collapsed="false">
      <c r="A26" s="1"/>
      <c r="B26" s="3" t="s">
        <v>251</v>
      </c>
      <c r="C26" s="1"/>
      <c r="D26" s="1"/>
      <c r="E26" s="1"/>
      <c r="F26"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I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60"/>
    <col collapsed="false" customWidth="true" hidden="false" outlineLevel="0" max="3" min="3" style="0" width="10"/>
    <col collapsed="false" customWidth="true" hidden="false" outlineLevel="0" max="34" min="4" style="0" width="12"/>
    <col collapsed="false" customWidth="true" hidden="false" outlineLevel="0" max="35" min="35" style="0" width="60"/>
  </cols>
  <sheetData>
    <row r="1" customFormat="false" ht="15" hidden="false" customHeight="false" outlineLevel="0" collapsed="false">
      <c r="A1" s="1"/>
      <c r="B1" s="2" t="s">
        <v>252</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customFormat="false" ht="15" hidden="false" customHeight="false" outlineLevel="0" collapsed="false">
      <c r="A2" s="1"/>
      <c r="B2" s="3" t="s">
        <v>253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customFormat="false" ht="15" hidden="false" customHeight="false" outlineLevel="0" collapsed="false">
      <c r="A3" s="1"/>
      <c r="B3" s="5" t="s">
        <v>103</v>
      </c>
      <c r="C3" s="8" t="s">
        <v>104</v>
      </c>
      <c r="D3" s="9" t="n">
        <v>45657</v>
      </c>
      <c r="E3" s="9" t="n">
        <v>46022</v>
      </c>
      <c r="F3" s="9" t="n">
        <v>46387</v>
      </c>
      <c r="G3" s="9" t="n">
        <v>46752</v>
      </c>
      <c r="H3" s="9" t="n">
        <v>47118</v>
      </c>
      <c r="I3" s="9" t="n">
        <v>47483</v>
      </c>
      <c r="J3" s="9" t="n">
        <v>47848</v>
      </c>
      <c r="K3" s="9" t="n">
        <v>48213</v>
      </c>
      <c r="L3" s="9" t="n">
        <v>48579</v>
      </c>
      <c r="M3" s="9" t="n">
        <v>48944</v>
      </c>
      <c r="N3" s="9" t="n">
        <v>49309</v>
      </c>
      <c r="O3" s="9" t="n">
        <v>49674</v>
      </c>
      <c r="P3" s="9" t="n">
        <v>50040</v>
      </c>
      <c r="Q3" s="9" t="n">
        <v>50405</v>
      </c>
      <c r="R3" s="9" t="n">
        <v>50770</v>
      </c>
      <c r="S3" s="9" t="n">
        <v>51135</v>
      </c>
      <c r="T3" s="9" t="n">
        <v>51501</v>
      </c>
      <c r="U3" s="9" t="n">
        <v>51866</v>
      </c>
      <c r="V3" s="9" t="n">
        <v>52231</v>
      </c>
      <c r="W3" s="9" t="n">
        <v>52596</v>
      </c>
      <c r="X3" s="9" t="n">
        <v>52962</v>
      </c>
      <c r="Y3" s="9" t="n">
        <v>53327</v>
      </c>
      <c r="Z3" s="9" t="n">
        <v>53692</v>
      </c>
      <c r="AA3" s="9" t="n">
        <v>54057</v>
      </c>
      <c r="AB3" s="9" t="n">
        <v>54423</v>
      </c>
      <c r="AC3" s="9" t="n">
        <v>54788</v>
      </c>
      <c r="AD3" s="9" t="n">
        <v>55153</v>
      </c>
      <c r="AE3" s="9" t="n">
        <v>55518</v>
      </c>
      <c r="AF3" s="9" t="n">
        <v>55884</v>
      </c>
      <c r="AG3" s="9" t="n">
        <v>56249</v>
      </c>
      <c r="AH3" s="9" t="n">
        <v>56614</v>
      </c>
      <c r="AI3" s="1"/>
    </row>
    <row r="4" customFormat="false" ht="15" hidden="false" customHeight="false" outlineLevel="0" collapsed="false">
      <c r="A4" s="1"/>
      <c r="B4" s="10"/>
      <c r="C4" s="10" t="s">
        <v>46</v>
      </c>
      <c r="D4" s="11" t="s">
        <v>254</v>
      </c>
      <c r="E4" s="11" t="s">
        <v>255</v>
      </c>
      <c r="F4" s="11" t="s">
        <v>256</v>
      </c>
      <c r="G4" s="11" t="s">
        <v>257</v>
      </c>
      <c r="H4" s="11" t="s">
        <v>258</v>
      </c>
      <c r="I4" s="11" t="s">
        <v>259</v>
      </c>
      <c r="J4" s="11" t="s">
        <v>260</v>
      </c>
      <c r="K4" s="11" t="s">
        <v>261</v>
      </c>
      <c r="L4" s="11" t="s">
        <v>262</v>
      </c>
      <c r="M4" s="11" t="s">
        <v>263</v>
      </c>
      <c r="N4" s="11" t="s">
        <v>264</v>
      </c>
      <c r="O4" s="11" t="s">
        <v>265</v>
      </c>
      <c r="P4" s="11" t="s">
        <v>266</v>
      </c>
      <c r="Q4" s="11" t="s">
        <v>267</v>
      </c>
      <c r="R4" s="11" t="s">
        <v>268</v>
      </c>
      <c r="S4" s="11" t="s">
        <v>269</v>
      </c>
      <c r="T4" s="11" t="s">
        <v>270</v>
      </c>
      <c r="U4" s="11" t="s">
        <v>271</v>
      </c>
      <c r="V4" s="11" t="s">
        <v>272</v>
      </c>
      <c r="W4" s="11" t="s">
        <v>273</v>
      </c>
      <c r="X4" s="11" t="s">
        <v>274</v>
      </c>
      <c r="Y4" s="11" t="s">
        <v>275</v>
      </c>
      <c r="Z4" s="11" t="s">
        <v>276</v>
      </c>
      <c r="AA4" s="11" t="s">
        <v>277</v>
      </c>
      <c r="AB4" s="11" t="s">
        <v>278</v>
      </c>
      <c r="AC4" s="11" t="s">
        <v>279</v>
      </c>
      <c r="AD4" s="11" t="s">
        <v>280</v>
      </c>
      <c r="AE4" s="11" t="s">
        <v>281</v>
      </c>
      <c r="AF4" s="11" t="s">
        <v>282</v>
      </c>
      <c r="AG4" s="11" t="s">
        <v>283</v>
      </c>
      <c r="AH4" s="11" t="s">
        <v>284</v>
      </c>
      <c r="AI4" s="10" t="s">
        <v>111</v>
      </c>
    </row>
    <row r="5" customFormat="false" ht="15" hidden="false" customHeight="false" outlineLevel="0" collapsed="false">
      <c r="A5" s="1"/>
      <c r="B5" s="12" t="s">
        <v>285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customFormat="false" ht="15" hidden="false" customHeight="false" outlineLevel="0" collapsed="false">
      <c r="A6" s="1"/>
      <c r="B6" s="12" t="s">
        <v>286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customFormat="false" ht="15" hidden="false" customHeight="false" outlineLevel="0" collapsed="false">
      <c r="A7" s="1"/>
      <c r="B7" s="13" t="s">
        <v>287</v>
      </c>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row>
    <row r="8" customFormat="false" ht="15" hidden="false" customHeight="false" outlineLevel="0" collapsed="false">
      <c r="A8" s="1"/>
      <c r="B8" s="5" t="s">
        <v>288</v>
      </c>
      <c r="C8" s="8" t="s">
        <v>289</v>
      </c>
      <c r="D8" s="20" t="n">
        <v>2.4</v>
      </c>
      <c r="E8" s="20" t="n">
        <v>3.7</v>
      </c>
      <c r="F8" s="20" t="n">
        <v>3.7</v>
      </c>
      <c r="G8" s="20" t="n">
        <v>3.7</v>
      </c>
      <c r="H8" s="20" t="n">
        <v>3.7</v>
      </c>
      <c r="I8" s="20" t="n">
        <v>3.7</v>
      </c>
      <c r="J8" s="20" t="n">
        <v>3.8</v>
      </c>
      <c r="K8" s="20" t="n">
        <v>3.8</v>
      </c>
      <c r="L8" s="20" t="n">
        <v>3.8</v>
      </c>
      <c r="M8" s="20" t="n">
        <v>3.8</v>
      </c>
      <c r="N8" s="20" t="n">
        <v>3.8</v>
      </c>
      <c r="O8" s="20" t="n">
        <v>3.9</v>
      </c>
      <c r="P8" s="20" t="n">
        <v>3.9</v>
      </c>
      <c r="Q8" s="20" t="n">
        <v>3.9</v>
      </c>
      <c r="R8" s="20" t="n">
        <v>3.9</v>
      </c>
      <c r="S8" s="20" t="n">
        <v>3.9</v>
      </c>
      <c r="T8" s="20" t="n">
        <v>3.9</v>
      </c>
      <c r="U8" s="20" t="n">
        <v>3.9</v>
      </c>
      <c r="V8" s="20" t="n">
        <v>3.9</v>
      </c>
      <c r="W8" s="20" t="n">
        <v>4</v>
      </c>
      <c r="X8" s="20" t="n">
        <v>4</v>
      </c>
      <c r="Y8" s="20" t="n">
        <v>4</v>
      </c>
      <c r="Z8" s="20" t="n">
        <v>4</v>
      </c>
      <c r="AA8" s="20" t="n">
        <v>4</v>
      </c>
      <c r="AB8" s="20" t="n">
        <v>4</v>
      </c>
      <c r="AC8" s="20" t="n">
        <v>4</v>
      </c>
      <c r="AD8" s="20" t="n">
        <v>4.1</v>
      </c>
      <c r="AE8" s="20" t="n">
        <v>4.1</v>
      </c>
      <c r="AF8" s="20" t="n">
        <v>4.1</v>
      </c>
      <c r="AG8" s="20" t="n">
        <v>4.1</v>
      </c>
      <c r="AH8" s="20" t="n">
        <v>4.1</v>
      </c>
      <c r="AI8" s="3" t="s">
        <v>290</v>
      </c>
    </row>
    <row r="9" customFormat="false" ht="15" hidden="false" customHeight="false" outlineLevel="0" collapsed="false">
      <c r="A9" s="1"/>
      <c r="B9" s="5" t="s">
        <v>291</v>
      </c>
      <c r="C9" s="8" t="s">
        <v>289</v>
      </c>
      <c r="D9" s="20" t="n">
        <v>2.5</v>
      </c>
      <c r="E9" s="20" t="n">
        <v>3.7</v>
      </c>
      <c r="F9" s="20" t="n">
        <v>4.3</v>
      </c>
      <c r="G9" s="20" t="n">
        <v>4.6</v>
      </c>
      <c r="H9" s="20" t="n">
        <v>4.8</v>
      </c>
      <c r="I9" s="20" t="n">
        <v>4.9</v>
      </c>
      <c r="J9" s="20" t="n">
        <v>5</v>
      </c>
      <c r="K9" s="20" t="n">
        <v>5.2</v>
      </c>
      <c r="L9" s="20" t="n">
        <v>5.3</v>
      </c>
      <c r="M9" s="20" t="n">
        <v>5.4</v>
      </c>
      <c r="N9" s="20" t="n">
        <v>5.6</v>
      </c>
      <c r="O9" s="20" t="n">
        <v>5.8</v>
      </c>
      <c r="P9" s="20" t="n">
        <v>5.8</v>
      </c>
      <c r="Q9" s="20" t="n">
        <v>5.9</v>
      </c>
      <c r="R9" s="20" t="n">
        <v>6</v>
      </c>
      <c r="S9" s="20" t="n">
        <v>6.1</v>
      </c>
      <c r="T9" s="20" t="n">
        <v>6.2</v>
      </c>
      <c r="U9" s="20" t="n">
        <v>6.2</v>
      </c>
      <c r="V9" s="20" t="n">
        <v>6.3</v>
      </c>
      <c r="W9" s="20" t="n">
        <v>6.4</v>
      </c>
      <c r="X9" s="20" t="n">
        <v>6.5</v>
      </c>
      <c r="Y9" s="20" t="n">
        <v>6.6</v>
      </c>
      <c r="Z9" s="20" t="n">
        <v>6.7</v>
      </c>
      <c r="AA9" s="20" t="n">
        <v>6.8</v>
      </c>
      <c r="AB9" s="20" t="n">
        <v>6.9</v>
      </c>
      <c r="AC9" s="20" t="n">
        <v>7</v>
      </c>
      <c r="AD9" s="20" t="n">
        <v>7.1</v>
      </c>
      <c r="AE9" s="20" t="n">
        <v>7.2</v>
      </c>
      <c r="AF9" s="20" t="n">
        <v>7.3</v>
      </c>
      <c r="AG9" s="20" t="n">
        <v>7.4</v>
      </c>
      <c r="AH9" s="20" t="n">
        <v>7.5</v>
      </c>
      <c r="AI9" s="1"/>
    </row>
    <row r="10" customFormat="false" ht="15" hidden="false" customHeight="false" outlineLevel="0" collapsed="false">
      <c r="A10" s="1"/>
      <c r="B10" s="17" t="s">
        <v>292</v>
      </c>
      <c r="C10" s="8" t="s">
        <v>289</v>
      </c>
      <c r="D10" s="29" t="n">
        <v>4.9</v>
      </c>
      <c r="E10" s="29" t="n">
        <v>7.4</v>
      </c>
      <c r="F10" s="29" t="n">
        <v>8</v>
      </c>
      <c r="G10" s="29" t="n">
        <v>8.3</v>
      </c>
      <c r="H10" s="29" t="n">
        <v>8.5</v>
      </c>
      <c r="I10" s="29" t="n">
        <v>8.6</v>
      </c>
      <c r="J10" s="29" t="n">
        <v>8.8</v>
      </c>
      <c r="K10" s="29" t="n">
        <v>8.9</v>
      </c>
      <c r="L10" s="29" t="n">
        <v>9.1</v>
      </c>
      <c r="M10" s="29" t="n">
        <v>9.3</v>
      </c>
      <c r="N10" s="29" t="n">
        <v>9.4</v>
      </c>
      <c r="O10" s="29" t="n">
        <v>9.6</v>
      </c>
      <c r="P10" s="29" t="n">
        <v>9.7</v>
      </c>
      <c r="Q10" s="29" t="n">
        <v>9.8</v>
      </c>
      <c r="R10" s="29" t="n">
        <v>9.9</v>
      </c>
      <c r="S10" s="29" t="n">
        <v>10</v>
      </c>
      <c r="T10" s="29" t="n">
        <v>10.1</v>
      </c>
      <c r="U10" s="29" t="n">
        <v>10.2</v>
      </c>
      <c r="V10" s="29" t="n">
        <v>10.3</v>
      </c>
      <c r="W10" s="29" t="n">
        <v>10.4</v>
      </c>
      <c r="X10" s="29" t="n">
        <v>10.5</v>
      </c>
      <c r="Y10" s="29" t="n">
        <v>10.6</v>
      </c>
      <c r="Z10" s="29" t="n">
        <v>10.7</v>
      </c>
      <c r="AA10" s="29" t="n">
        <v>10.8</v>
      </c>
      <c r="AB10" s="29" t="n">
        <v>10.9</v>
      </c>
      <c r="AC10" s="29" t="n">
        <v>11</v>
      </c>
      <c r="AD10" s="29" t="n">
        <v>11.1</v>
      </c>
      <c r="AE10" s="29" t="n">
        <v>11.2</v>
      </c>
      <c r="AF10" s="29" t="n">
        <v>11.4</v>
      </c>
      <c r="AG10" s="29" t="n">
        <v>11.5</v>
      </c>
      <c r="AH10" s="29" t="n">
        <v>11.6</v>
      </c>
      <c r="AI10" s="3" t="s">
        <v>293</v>
      </c>
    </row>
    <row r="11" customFormat="false" ht="15" hidden="false" customHeight="false" outlineLevel="0" collapsed="false">
      <c r="A11" s="1"/>
      <c r="B11" s="5" t="s">
        <v>294</v>
      </c>
      <c r="C11" s="8" t="s">
        <v>123</v>
      </c>
      <c r="D11" s="15" t="n">
        <v>350</v>
      </c>
      <c r="E11" s="15" t="n">
        <v>583</v>
      </c>
      <c r="F11" s="15" t="n">
        <v>695</v>
      </c>
      <c r="G11" s="15" t="n">
        <v>737</v>
      </c>
      <c r="H11" s="15" t="n">
        <v>776</v>
      </c>
      <c r="I11" s="15" t="n">
        <v>817</v>
      </c>
      <c r="J11" s="15" t="n">
        <v>860</v>
      </c>
      <c r="K11" s="15" t="n">
        <v>905</v>
      </c>
      <c r="L11" s="15" t="n">
        <v>953</v>
      </c>
      <c r="M11" s="15" t="n">
        <v>1004</v>
      </c>
      <c r="N11" s="15" t="n">
        <v>1057</v>
      </c>
      <c r="O11" s="15" t="n">
        <v>1114</v>
      </c>
      <c r="P11" s="15" t="n">
        <v>1159</v>
      </c>
      <c r="Q11" s="15" t="n">
        <v>1206</v>
      </c>
      <c r="R11" s="15" t="n">
        <v>1256</v>
      </c>
      <c r="S11" s="15" t="n">
        <v>1307</v>
      </c>
      <c r="T11" s="15" t="n">
        <v>1360</v>
      </c>
      <c r="U11" s="15" t="n">
        <v>1416</v>
      </c>
      <c r="V11" s="15" t="n">
        <v>1474</v>
      </c>
      <c r="W11" s="15" t="n">
        <v>1534</v>
      </c>
      <c r="X11" s="15" t="n">
        <v>1597</v>
      </c>
      <c r="Y11" s="15" t="n">
        <v>1663</v>
      </c>
      <c r="Z11" s="15" t="n">
        <v>1731</v>
      </c>
      <c r="AA11" s="15" t="n">
        <v>1802</v>
      </c>
      <c r="AB11" s="15" t="n">
        <v>1876</v>
      </c>
      <c r="AC11" s="15" t="n">
        <v>1953</v>
      </c>
      <c r="AD11" s="15" t="n">
        <v>2033</v>
      </c>
      <c r="AE11" s="15" t="n">
        <v>2117</v>
      </c>
      <c r="AF11" s="15" t="n">
        <v>2204</v>
      </c>
      <c r="AG11" s="15" t="n">
        <v>2295</v>
      </c>
      <c r="AH11" s="15" t="n">
        <v>2389</v>
      </c>
      <c r="AI11" s="1"/>
    </row>
    <row r="12" customFormat="false" ht="15" hidden="false" customHeight="false" outlineLevel="0" collapsed="false">
      <c r="A12" s="1"/>
      <c r="B12" s="5" t="s">
        <v>295</v>
      </c>
      <c r="C12" s="8" t="s">
        <v>123</v>
      </c>
      <c r="D12" s="15" t="n">
        <v>62</v>
      </c>
      <c r="E12" s="15" t="n">
        <v>94</v>
      </c>
      <c r="F12" s="15" t="n">
        <v>115</v>
      </c>
      <c r="G12" s="15" t="n">
        <v>122</v>
      </c>
      <c r="H12" s="15" t="n">
        <v>128</v>
      </c>
      <c r="I12" s="15" t="n">
        <v>133</v>
      </c>
      <c r="J12" s="15" t="n">
        <v>139</v>
      </c>
      <c r="K12" s="15" t="n">
        <v>145</v>
      </c>
      <c r="L12" s="15" t="n">
        <v>151</v>
      </c>
      <c r="M12" s="15" t="n">
        <v>158</v>
      </c>
      <c r="N12" s="15" t="n">
        <v>164</v>
      </c>
      <c r="O12" s="15" t="n">
        <v>172</v>
      </c>
      <c r="P12" s="15" t="n">
        <v>178</v>
      </c>
      <c r="Q12" s="15" t="n">
        <v>184</v>
      </c>
      <c r="R12" s="15" t="n">
        <v>191</v>
      </c>
      <c r="S12" s="15" t="n">
        <v>198</v>
      </c>
      <c r="T12" s="15" t="n">
        <v>205</v>
      </c>
      <c r="U12" s="15" t="n">
        <v>213</v>
      </c>
      <c r="V12" s="15" t="n">
        <v>221</v>
      </c>
      <c r="W12" s="15" t="n">
        <v>229</v>
      </c>
      <c r="X12" s="15" t="n">
        <v>237</v>
      </c>
      <c r="Y12" s="15" t="n">
        <v>246</v>
      </c>
      <c r="Z12" s="15" t="n">
        <v>255</v>
      </c>
      <c r="AA12" s="15" t="n">
        <v>264</v>
      </c>
      <c r="AB12" s="15" t="n">
        <v>274</v>
      </c>
      <c r="AC12" s="15" t="n">
        <v>284</v>
      </c>
      <c r="AD12" s="15" t="n">
        <v>295</v>
      </c>
      <c r="AE12" s="15" t="n">
        <v>306</v>
      </c>
      <c r="AF12" s="15" t="n">
        <v>318</v>
      </c>
      <c r="AG12" s="15" t="n">
        <v>330</v>
      </c>
      <c r="AH12" s="15" t="n">
        <v>342</v>
      </c>
      <c r="AI12" s="1"/>
    </row>
    <row r="13" customFormat="false" ht="15" hidden="false" customHeight="false" outlineLevel="0" collapsed="false">
      <c r="A13" s="1"/>
      <c r="B13" s="17" t="s">
        <v>296</v>
      </c>
      <c r="C13" s="8" t="s">
        <v>123</v>
      </c>
      <c r="D13" s="18" t="n">
        <v>412</v>
      </c>
      <c r="E13" s="18" t="n">
        <v>677</v>
      </c>
      <c r="F13" s="18" t="n">
        <v>811</v>
      </c>
      <c r="G13" s="18" t="n">
        <v>860</v>
      </c>
      <c r="H13" s="18" t="n">
        <v>904</v>
      </c>
      <c r="I13" s="18" t="n">
        <v>950</v>
      </c>
      <c r="J13" s="18" t="n">
        <v>999</v>
      </c>
      <c r="K13" s="18" t="n">
        <v>1050</v>
      </c>
      <c r="L13" s="18" t="n">
        <v>1104</v>
      </c>
      <c r="M13" s="18" t="n">
        <v>1161</v>
      </c>
      <c r="N13" s="18" t="n">
        <v>1222</v>
      </c>
      <c r="O13" s="18" t="n">
        <v>1285</v>
      </c>
      <c r="P13" s="18" t="n">
        <v>1337</v>
      </c>
      <c r="Q13" s="18" t="n">
        <v>1391</v>
      </c>
      <c r="R13" s="18" t="n">
        <v>1447</v>
      </c>
      <c r="S13" s="18" t="n">
        <v>1505</v>
      </c>
      <c r="T13" s="18" t="n">
        <v>1565</v>
      </c>
      <c r="U13" s="18" t="n">
        <v>1629</v>
      </c>
      <c r="V13" s="18" t="n">
        <v>1694</v>
      </c>
      <c r="W13" s="18" t="n">
        <v>1763</v>
      </c>
      <c r="X13" s="18" t="n">
        <v>1834</v>
      </c>
      <c r="Y13" s="18" t="n">
        <v>1908</v>
      </c>
      <c r="Z13" s="18" t="n">
        <v>1986</v>
      </c>
      <c r="AA13" s="18" t="n">
        <v>2066</v>
      </c>
      <c r="AB13" s="18" t="n">
        <v>2150</v>
      </c>
      <c r="AC13" s="18" t="n">
        <v>2237</v>
      </c>
      <c r="AD13" s="18" t="n">
        <v>2328</v>
      </c>
      <c r="AE13" s="18" t="n">
        <v>2423</v>
      </c>
      <c r="AF13" s="18" t="n">
        <v>2522</v>
      </c>
      <c r="AG13" s="18" t="n">
        <v>2624</v>
      </c>
      <c r="AH13" s="18" t="n">
        <v>2732</v>
      </c>
      <c r="AI13" s="1"/>
    </row>
    <row r="14" customFormat="false" ht="15" hidden="false" customHeight="false" outlineLevel="0" collapsed="false">
      <c r="A14" s="1"/>
      <c r="B14" s="5" t="s">
        <v>297</v>
      </c>
      <c r="C14" s="8" t="s">
        <v>133</v>
      </c>
      <c r="D14" s="23" t="n">
        <v>70.96</v>
      </c>
      <c r="E14" s="23" t="n">
        <v>79.16</v>
      </c>
      <c r="F14" s="23" t="n">
        <v>86.77</v>
      </c>
      <c r="G14" s="23" t="n">
        <v>88.58</v>
      </c>
      <c r="H14" s="23" t="n">
        <v>91.62</v>
      </c>
      <c r="I14" s="23" t="n">
        <v>94.75</v>
      </c>
      <c r="J14" s="23" t="n">
        <v>97.98</v>
      </c>
      <c r="K14" s="23" t="n">
        <v>101.32</v>
      </c>
      <c r="L14" s="23" t="n">
        <v>104.76</v>
      </c>
      <c r="M14" s="23" t="n">
        <v>108.32</v>
      </c>
      <c r="N14" s="23" t="n">
        <v>111.99</v>
      </c>
      <c r="O14" s="23" t="n">
        <v>115.78</v>
      </c>
      <c r="P14" s="23" t="n">
        <v>119.37</v>
      </c>
      <c r="Q14" s="23" t="n">
        <v>123.07</v>
      </c>
      <c r="R14" s="23" t="n">
        <v>126.88</v>
      </c>
      <c r="S14" s="23" t="n">
        <v>130.81</v>
      </c>
      <c r="T14" s="23" t="n">
        <v>134.86</v>
      </c>
      <c r="U14" s="23" t="n">
        <v>139.03</v>
      </c>
      <c r="V14" s="23" t="n">
        <v>143.32</v>
      </c>
      <c r="W14" s="23" t="n">
        <v>147.75</v>
      </c>
      <c r="X14" s="23" t="n">
        <v>152.32</v>
      </c>
      <c r="Y14" s="23" t="n">
        <v>157.02</v>
      </c>
      <c r="Z14" s="23" t="n">
        <v>161.86</v>
      </c>
      <c r="AA14" s="23" t="n">
        <v>166.85</v>
      </c>
      <c r="AB14" s="23" t="n">
        <v>172</v>
      </c>
      <c r="AC14" s="23" t="n">
        <v>177.3</v>
      </c>
      <c r="AD14" s="23" t="n">
        <v>182.76</v>
      </c>
      <c r="AE14" s="23" t="n">
        <v>188.38</v>
      </c>
      <c r="AF14" s="23" t="n">
        <v>194.18</v>
      </c>
      <c r="AG14" s="23" t="n">
        <v>200.15</v>
      </c>
      <c r="AH14" s="23" t="n">
        <v>206.3</v>
      </c>
      <c r="AI14" s="3" t="s">
        <v>290</v>
      </c>
    </row>
    <row r="15" customFormat="false" ht="15" hidden="false" customHeight="false" outlineLevel="0" collapsed="false">
      <c r="A15" s="1"/>
      <c r="B15" s="5" t="s">
        <v>298</v>
      </c>
      <c r="C15" s="8" t="s">
        <v>133</v>
      </c>
      <c r="D15" s="24" t="n">
        <f aca="false">D11/D10</f>
        <v>71.4285714285714</v>
      </c>
      <c r="E15" s="24" t="n">
        <f aca="false">E11/E10</f>
        <v>78.7837837837838</v>
      </c>
      <c r="F15" s="24" t="n">
        <f aca="false">F11/F10</f>
        <v>86.875</v>
      </c>
      <c r="G15" s="24" t="n">
        <f aca="false">G11/G10</f>
        <v>88.7951807228916</v>
      </c>
      <c r="H15" s="24" t="n">
        <f aca="false">H11/H10</f>
        <v>91.2941176470588</v>
      </c>
      <c r="I15" s="24" t="n">
        <f aca="false">I11/I10</f>
        <v>95</v>
      </c>
      <c r="J15" s="24" t="n">
        <f aca="false">J11/J10</f>
        <v>97.7272727272727</v>
      </c>
      <c r="K15" s="24" t="n">
        <f aca="false">K11/K10</f>
        <v>101.685393258427</v>
      </c>
      <c r="L15" s="24" t="n">
        <f aca="false">L11/L10</f>
        <v>104.725274725275</v>
      </c>
      <c r="M15" s="24" t="n">
        <f aca="false">M11/M10</f>
        <v>107.956989247312</v>
      </c>
      <c r="N15" s="24" t="n">
        <f aca="false">N11/N10</f>
        <v>112.446808510638</v>
      </c>
      <c r="O15" s="24" t="n">
        <f aca="false">O11/O10</f>
        <v>116.041666666667</v>
      </c>
      <c r="P15" s="24" t="n">
        <f aca="false">P11/P10</f>
        <v>119.484536082474</v>
      </c>
      <c r="Q15" s="24" t="n">
        <f aca="false">Q11/Q10</f>
        <v>123.061224489796</v>
      </c>
      <c r="R15" s="24" t="n">
        <f aca="false">R11/R10</f>
        <v>126.868686868687</v>
      </c>
      <c r="S15" s="24" t="n">
        <f aca="false">S11/S10</f>
        <v>130.7</v>
      </c>
      <c r="T15" s="24" t="n">
        <f aca="false">T11/T10</f>
        <v>134.653465346535</v>
      </c>
      <c r="U15" s="24" t="n">
        <f aca="false">U11/U10</f>
        <v>138.823529411765</v>
      </c>
      <c r="V15" s="24" t="n">
        <f aca="false">V11/V10</f>
        <v>143.106796116505</v>
      </c>
      <c r="W15" s="24" t="n">
        <f aca="false">W11/W10</f>
        <v>147.5</v>
      </c>
      <c r="X15" s="24" t="n">
        <f aca="false">X11/X10</f>
        <v>152.095238095238</v>
      </c>
      <c r="Y15" s="24" t="n">
        <f aca="false">Y11/Y10</f>
        <v>156.88679245283</v>
      </c>
      <c r="Z15" s="24" t="n">
        <f aca="false">Z11/Z10</f>
        <v>161.775700934579</v>
      </c>
      <c r="AA15" s="24" t="n">
        <f aca="false">AA11/AA10</f>
        <v>166.851851851852</v>
      </c>
      <c r="AB15" s="24" t="n">
        <f aca="false">AB11/AB10</f>
        <v>172.110091743119</v>
      </c>
      <c r="AC15" s="24" t="n">
        <f aca="false">AC11/AC10</f>
        <v>177.545454545455</v>
      </c>
      <c r="AD15" s="24" t="n">
        <f aca="false">AD11/AD10</f>
        <v>183.153153153153</v>
      </c>
      <c r="AE15" s="24" t="n">
        <f aca="false">AE11/AE10</f>
        <v>189.017857142857</v>
      </c>
      <c r="AF15" s="24" t="n">
        <f aca="false">AF11/AF10</f>
        <v>193.333333333333</v>
      </c>
      <c r="AG15" s="24" t="n">
        <f aca="false">AG11/AG10</f>
        <v>199.565217391304</v>
      </c>
      <c r="AH15" s="24" t="n">
        <f aca="false">AH11/AH10</f>
        <v>205.948275862069</v>
      </c>
      <c r="AI15" s="3" t="s">
        <v>299</v>
      </c>
    </row>
    <row r="16" customFormat="false" ht="15" hidden="false" customHeight="false" outlineLevel="0" collapsed="false">
      <c r="A16" s="1"/>
      <c r="B16" s="5" t="s">
        <v>300</v>
      </c>
      <c r="C16" s="8" t="s">
        <v>123</v>
      </c>
      <c r="D16" s="15" t="n">
        <v>205</v>
      </c>
      <c r="E16" s="15" t="n">
        <v>228</v>
      </c>
      <c r="F16" s="15" t="n">
        <v>240</v>
      </c>
      <c r="G16" s="15" t="n">
        <v>247</v>
      </c>
      <c r="H16" s="15" t="n">
        <v>253</v>
      </c>
      <c r="I16" s="15" t="n">
        <v>260</v>
      </c>
      <c r="J16" s="15" t="n">
        <v>269</v>
      </c>
      <c r="K16" s="15" t="n">
        <v>276</v>
      </c>
      <c r="L16" s="15" t="n">
        <v>284</v>
      </c>
      <c r="M16" s="15" t="n">
        <v>293</v>
      </c>
      <c r="N16" s="15" t="n">
        <v>301</v>
      </c>
      <c r="O16" s="15" t="n">
        <v>311</v>
      </c>
      <c r="P16" s="15" t="n">
        <v>319</v>
      </c>
      <c r="Q16" s="15" t="n">
        <v>327</v>
      </c>
      <c r="R16" s="15" t="n">
        <v>336</v>
      </c>
      <c r="S16" s="15" t="n">
        <v>344</v>
      </c>
      <c r="T16" s="15" t="n">
        <v>353</v>
      </c>
      <c r="U16" s="15" t="n">
        <v>364</v>
      </c>
      <c r="V16" s="15" t="n">
        <v>373</v>
      </c>
      <c r="W16" s="15" t="n">
        <v>384</v>
      </c>
      <c r="X16" s="15" t="n">
        <v>394</v>
      </c>
      <c r="Y16" s="15" t="n">
        <v>404</v>
      </c>
      <c r="Z16" s="15" t="n">
        <v>414</v>
      </c>
      <c r="AA16" s="15" t="n">
        <v>425</v>
      </c>
      <c r="AB16" s="15" t="n">
        <v>437</v>
      </c>
      <c r="AC16" s="15" t="n">
        <v>449</v>
      </c>
      <c r="AD16" s="15" t="n">
        <v>460</v>
      </c>
      <c r="AE16" s="15" t="n">
        <v>472</v>
      </c>
      <c r="AF16" s="15" t="n">
        <v>485</v>
      </c>
      <c r="AG16" s="15" t="n">
        <v>498</v>
      </c>
      <c r="AH16" s="15" t="n">
        <v>512</v>
      </c>
      <c r="AI16" s="1"/>
    </row>
    <row r="17" customFormat="false" ht="15" hidden="false" customHeight="false" outlineLevel="0" collapsed="false">
      <c r="A17" s="1"/>
      <c r="B17" s="17" t="s">
        <v>301</v>
      </c>
      <c r="C17" s="8" t="s">
        <v>123</v>
      </c>
      <c r="D17" s="18" t="n">
        <v>207</v>
      </c>
      <c r="E17" s="18" t="n">
        <v>449</v>
      </c>
      <c r="F17" s="18" t="n">
        <v>571</v>
      </c>
      <c r="G17" s="18" t="n">
        <v>612</v>
      </c>
      <c r="H17" s="18" t="n">
        <v>650</v>
      </c>
      <c r="I17" s="18" t="n">
        <v>690</v>
      </c>
      <c r="J17" s="18" t="n">
        <v>730</v>
      </c>
      <c r="K17" s="18" t="n">
        <v>774</v>
      </c>
      <c r="L17" s="18" t="n">
        <v>820</v>
      </c>
      <c r="M17" s="18" t="n">
        <v>869</v>
      </c>
      <c r="N17" s="18" t="n">
        <v>921</v>
      </c>
      <c r="O17" s="18" t="n">
        <v>974</v>
      </c>
      <c r="P17" s="18" t="n">
        <v>1018</v>
      </c>
      <c r="Q17" s="18" t="n">
        <v>1064</v>
      </c>
      <c r="R17" s="18" t="n">
        <v>1111</v>
      </c>
      <c r="S17" s="18" t="n">
        <v>1160</v>
      </c>
      <c r="T17" s="18" t="n">
        <v>1212</v>
      </c>
      <c r="U17" s="18" t="n">
        <v>1265</v>
      </c>
      <c r="V17" s="18" t="n">
        <v>1321</v>
      </c>
      <c r="W17" s="18" t="n">
        <v>1379</v>
      </c>
      <c r="X17" s="18" t="n">
        <v>1440</v>
      </c>
      <c r="Y17" s="18" t="n">
        <v>1505</v>
      </c>
      <c r="Z17" s="18" t="n">
        <v>1572</v>
      </c>
      <c r="AA17" s="18" t="n">
        <v>1641</v>
      </c>
      <c r="AB17" s="18" t="n">
        <v>1713</v>
      </c>
      <c r="AC17" s="18" t="n">
        <v>1789</v>
      </c>
      <c r="AD17" s="18" t="n">
        <v>1868</v>
      </c>
      <c r="AE17" s="18" t="n">
        <v>1951</v>
      </c>
      <c r="AF17" s="18" t="n">
        <v>2037</v>
      </c>
      <c r="AG17" s="18" t="n">
        <v>2126</v>
      </c>
      <c r="AH17" s="18" t="n">
        <v>2220</v>
      </c>
      <c r="AI17" s="3" t="s">
        <v>302</v>
      </c>
    </row>
    <row r="18" customFormat="false" ht="15" hidden="false" customHeight="false" outlineLevel="0" collapsed="false">
      <c r="A18" s="1"/>
      <c r="B18" s="5" t="s">
        <v>303</v>
      </c>
      <c r="C18" s="8" t="s">
        <v>123</v>
      </c>
      <c r="D18" s="15" t="n">
        <v>28</v>
      </c>
      <c r="E18" s="15" t="n">
        <v>32</v>
      </c>
      <c r="F18" s="15" t="n">
        <v>35</v>
      </c>
      <c r="G18" s="15" t="n">
        <v>36</v>
      </c>
      <c r="H18" s="15" t="n">
        <v>37</v>
      </c>
      <c r="I18" s="15" t="n">
        <v>26</v>
      </c>
      <c r="J18" s="15" t="n">
        <v>25</v>
      </c>
      <c r="K18" s="15" t="n">
        <v>26</v>
      </c>
      <c r="L18" s="15" t="n">
        <v>34</v>
      </c>
      <c r="M18" s="15" t="n">
        <v>27</v>
      </c>
      <c r="N18" s="15" t="n">
        <v>33</v>
      </c>
      <c r="O18" s="15" t="n">
        <v>33</v>
      </c>
      <c r="P18" s="15" t="n">
        <v>34</v>
      </c>
      <c r="Q18" s="15" t="n">
        <v>35</v>
      </c>
      <c r="R18" s="15" t="n">
        <v>36</v>
      </c>
      <c r="S18" s="15" t="n">
        <v>37</v>
      </c>
      <c r="T18" s="15" t="n">
        <v>38</v>
      </c>
      <c r="U18" s="15" t="n">
        <v>38</v>
      </c>
      <c r="V18" s="15" t="n">
        <v>39</v>
      </c>
      <c r="W18" s="15" t="n">
        <v>40</v>
      </c>
      <c r="X18" s="15" t="n">
        <v>40</v>
      </c>
      <c r="Y18" s="15" t="n">
        <v>43</v>
      </c>
      <c r="Z18" s="15" t="n">
        <v>43</v>
      </c>
      <c r="AA18" s="15" t="n">
        <v>54</v>
      </c>
      <c r="AB18" s="15" t="n">
        <v>45</v>
      </c>
      <c r="AC18" s="15" t="n">
        <v>45</v>
      </c>
      <c r="AD18" s="15" t="n">
        <v>47</v>
      </c>
      <c r="AE18" s="15" t="n">
        <v>47</v>
      </c>
      <c r="AF18" s="15" t="n">
        <v>48</v>
      </c>
      <c r="AG18" s="15" t="n">
        <v>49</v>
      </c>
      <c r="AH18" s="15" t="n">
        <v>49</v>
      </c>
      <c r="AI18" s="3" t="s">
        <v>304</v>
      </c>
    </row>
    <row r="19" customFormat="false" ht="15" hidden="false" customHeight="false" outlineLevel="0" collapsed="false">
      <c r="A19" s="1"/>
      <c r="B19" s="5" t="s">
        <v>305</v>
      </c>
      <c r="C19" s="8" t="s">
        <v>123</v>
      </c>
      <c r="D19" s="15" t="n">
        <v>179</v>
      </c>
      <c r="E19" s="15" t="n">
        <v>417</v>
      </c>
      <c r="F19" s="15" t="n">
        <v>535</v>
      </c>
      <c r="G19" s="15" t="n">
        <v>575</v>
      </c>
      <c r="H19" s="15" t="n">
        <v>613</v>
      </c>
      <c r="I19" s="15" t="n">
        <v>664</v>
      </c>
      <c r="J19" s="15" t="n">
        <v>705</v>
      </c>
      <c r="K19" s="15" t="n">
        <v>749</v>
      </c>
      <c r="L19" s="15" t="n">
        <v>787</v>
      </c>
      <c r="M19" s="15" t="n">
        <v>842</v>
      </c>
      <c r="N19" s="15" t="n">
        <v>888</v>
      </c>
      <c r="O19" s="15" t="n">
        <v>941</v>
      </c>
      <c r="P19" s="15" t="n">
        <v>984</v>
      </c>
      <c r="Q19" s="15" t="n">
        <v>1029</v>
      </c>
      <c r="R19" s="15" t="n">
        <v>1075</v>
      </c>
      <c r="S19" s="15" t="n">
        <v>1124</v>
      </c>
      <c r="T19" s="15" t="n">
        <v>1175</v>
      </c>
      <c r="U19" s="15" t="n">
        <v>1226</v>
      </c>
      <c r="V19" s="15" t="n">
        <v>1281</v>
      </c>
      <c r="W19" s="15" t="n">
        <v>1339</v>
      </c>
      <c r="X19" s="15" t="n">
        <v>1399</v>
      </c>
      <c r="Y19" s="15" t="n">
        <v>1463</v>
      </c>
      <c r="Z19" s="15" t="n">
        <v>1529</v>
      </c>
      <c r="AA19" s="15" t="n">
        <v>1587</v>
      </c>
      <c r="AB19" s="15" t="n">
        <v>1669</v>
      </c>
      <c r="AC19" s="15" t="n">
        <v>1744</v>
      </c>
      <c r="AD19" s="15" t="n">
        <v>1822</v>
      </c>
      <c r="AE19" s="15" t="n">
        <v>1904</v>
      </c>
      <c r="AF19" s="15" t="n">
        <v>1989</v>
      </c>
      <c r="AG19" s="15" t="n">
        <v>2078</v>
      </c>
      <c r="AH19" s="15" t="n">
        <v>2171</v>
      </c>
      <c r="AI19" s="1"/>
    </row>
    <row r="20" customFormat="false" ht="15" hidden="false" customHeight="false" outlineLevel="0" collapsed="false">
      <c r="A20" s="1"/>
      <c r="B20" s="5" t="s">
        <v>306</v>
      </c>
      <c r="C20" s="8" t="s">
        <v>123</v>
      </c>
      <c r="D20" s="15" t="n">
        <v>-4</v>
      </c>
      <c r="E20" s="15" t="n">
        <v>-3</v>
      </c>
      <c r="F20" s="15" t="n">
        <v>85</v>
      </c>
      <c r="G20" s="15" t="n">
        <v>42</v>
      </c>
      <c r="H20" s="15" t="n">
        <v>9</v>
      </c>
      <c r="I20" s="15" t="n">
        <v>-44</v>
      </c>
      <c r="J20" s="15" t="n">
        <v>-59</v>
      </c>
      <c r="K20" s="15" t="n">
        <v>-7</v>
      </c>
      <c r="L20" s="15" t="n">
        <v>-17</v>
      </c>
      <c r="M20" s="15" t="n">
        <v>-34</v>
      </c>
      <c r="N20" s="15" t="n">
        <v>-22</v>
      </c>
      <c r="O20" s="15" t="n">
        <v>-28</v>
      </c>
      <c r="P20" s="15" t="n">
        <v>-22</v>
      </c>
      <c r="Q20" s="15" t="n">
        <v>-21</v>
      </c>
      <c r="R20" s="15" t="n">
        <v>-22</v>
      </c>
      <c r="S20" s="15" t="n">
        <v>-23</v>
      </c>
      <c r="T20" s="15" t="n">
        <v>-25</v>
      </c>
      <c r="U20" s="15" t="n">
        <v>-21</v>
      </c>
      <c r="V20" s="15" t="n">
        <v>-5</v>
      </c>
      <c r="W20" s="15" t="n">
        <v>-15</v>
      </c>
      <c r="X20" s="15" t="n">
        <v>-4</v>
      </c>
      <c r="Y20" s="15" t="n">
        <v>-7</v>
      </c>
      <c r="Z20" s="15" t="n">
        <v>-7</v>
      </c>
      <c r="AA20" s="15" t="n">
        <v>-3</v>
      </c>
      <c r="AB20" s="15" t="n">
        <v>-3</v>
      </c>
      <c r="AC20" s="15" t="n">
        <v>-3</v>
      </c>
      <c r="AD20" s="15" t="n">
        <v>-3</v>
      </c>
      <c r="AE20" s="15" t="n">
        <v>-3</v>
      </c>
      <c r="AF20" s="15" t="n">
        <v>-7</v>
      </c>
      <c r="AG20" s="15" t="n">
        <v>-4</v>
      </c>
      <c r="AH20" s="15" t="n">
        <v>-4</v>
      </c>
      <c r="AI20" s="3" t="s">
        <v>307</v>
      </c>
    </row>
    <row r="21" customFormat="false" ht="15" hidden="false" customHeight="false" outlineLevel="0" collapsed="false">
      <c r="A21" s="1"/>
      <c r="B21" s="17" t="s">
        <v>308</v>
      </c>
      <c r="C21" s="8" t="s">
        <v>123</v>
      </c>
      <c r="D21" s="18" t="n">
        <v>175</v>
      </c>
      <c r="E21" s="18" t="n">
        <v>414</v>
      </c>
      <c r="F21" s="18" t="n">
        <v>620</v>
      </c>
      <c r="G21" s="18" t="n">
        <v>617</v>
      </c>
      <c r="H21" s="18" t="n">
        <v>621</v>
      </c>
      <c r="I21" s="18" t="n">
        <v>620</v>
      </c>
      <c r="J21" s="18" t="n">
        <v>647</v>
      </c>
      <c r="K21" s="18" t="n">
        <v>741</v>
      </c>
      <c r="L21" s="18" t="n">
        <v>769</v>
      </c>
      <c r="M21" s="18" t="n">
        <v>808</v>
      </c>
      <c r="N21" s="18" t="n">
        <v>866</v>
      </c>
      <c r="O21" s="18" t="n">
        <v>913</v>
      </c>
      <c r="P21" s="18" t="n">
        <v>962</v>
      </c>
      <c r="Q21" s="18" t="n">
        <v>1008</v>
      </c>
      <c r="R21" s="18" t="n">
        <v>1053</v>
      </c>
      <c r="S21" s="18" t="n">
        <v>1100</v>
      </c>
      <c r="T21" s="18" t="n">
        <v>1150</v>
      </c>
      <c r="U21" s="18" t="n">
        <v>1205</v>
      </c>
      <c r="V21" s="18" t="n">
        <v>1276</v>
      </c>
      <c r="W21" s="18" t="n">
        <v>1324</v>
      </c>
      <c r="X21" s="18" t="n">
        <v>1396</v>
      </c>
      <c r="Y21" s="18" t="n">
        <v>1457</v>
      </c>
      <c r="Z21" s="18" t="n">
        <v>1522</v>
      </c>
      <c r="AA21" s="18" t="n">
        <v>1584</v>
      </c>
      <c r="AB21" s="18" t="n">
        <v>1666</v>
      </c>
      <c r="AC21" s="18" t="n">
        <v>1741</v>
      </c>
      <c r="AD21" s="18" t="n">
        <v>1819</v>
      </c>
      <c r="AE21" s="18" t="n">
        <v>1901</v>
      </c>
      <c r="AF21" s="18" t="n">
        <v>1983</v>
      </c>
      <c r="AG21" s="18" t="n">
        <v>2074</v>
      </c>
      <c r="AH21" s="18" t="n">
        <v>2167</v>
      </c>
      <c r="AI21" s="1"/>
    </row>
    <row r="22" customFormat="false" ht="15" hidden="false" customHeight="false" outlineLevel="0" collapsed="false">
      <c r="A22" s="1"/>
      <c r="B22" s="5" t="s">
        <v>309</v>
      </c>
      <c r="C22" s="8" t="s">
        <v>123</v>
      </c>
      <c r="D22" s="15" t="n">
        <v>17</v>
      </c>
      <c r="E22" s="15" t="n">
        <v>117</v>
      </c>
      <c r="F22" s="15" t="n">
        <v>117</v>
      </c>
      <c r="G22" s="15" t="n">
        <v>117</v>
      </c>
      <c r="H22" s="15" t="n">
        <v>117</v>
      </c>
      <c r="I22" s="15" t="n">
        <v>117</v>
      </c>
      <c r="J22" s="15" t="n">
        <v>117</v>
      </c>
      <c r="K22" s="15" t="n">
        <v>117</v>
      </c>
      <c r="L22" s="15" t="n">
        <v>117</v>
      </c>
      <c r="M22" s="15" t="n">
        <v>117</v>
      </c>
      <c r="N22" s="15" t="n">
        <v>117</v>
      </c>
      <c r="O22" s="15" t="n">
        <v>117</v>
      </c>
      <c r="P22" s="15" t="n">
        <v>116</v>
      </c>
      <c r="Q22" s="15" t="n">
        <v>115</v>
      </c>
      <c r="R22" s="15" t="n">
        <v>113</v>
      </c>
      <c r="S22" s="15" t="n">
        <v>110</v>
      </c>
      <c r="T22" s="15" t="n">
        <v>107</v>
      </c>
      <c r="U22" s="15" t="n">
        <v>106</v>
      </c>
      <c r="V22" s="15" t="n">
        <v>98</v>
      </c>
      <c r="W22" s="15" t="n">
        <v>96</v>
      </c>
      <c r="X22" s="15" t="n">
        <v>93</v>
      </c>
      <c r="Y22" s="15" t="n">
        <v>82</v>
      </c>
      <c r="Z22" s="15" t="n">
        <v>78</v>
      </c>
      <c r="AA22" s="15" t="n">
        <v>75</v>
      </c>
      <c r="AB22" s="15" t="n">
        <v>59</v>
      </c>
      <c r="AC22" s="15" t="n">
        <v>55</v>
      </c>
      <c r="AD22" s="15" t="n">
        <v>46</v>
      </c>
      <c r="AE22" s="15" t="n">
        <v>37</v>
      </c>
      <c r="AF22" s="15" t="n">
        <v>28</v>
      </c>
      <c r="AG22" s="15" t="n">
        <v>23</v>
      </c>
      <c r="AH22" s="15" t="n">
        <v>1</v>
      </c>
      <c r="AI22" s="3" t="s">
        <v>310</v>
      </c>
    </row>
    <row r="23" customFormat="false" ht="15" hidden="false" customHeight="false" outlineLevel="0" collapsed="false">
      <c r="A23" s="1"/>
      <c r="B23" s="5" t="s">
        <v>311</v>
      </c>
      <c r="C23" s="8" t="s">
        <v>123</v>
      </c>
      <c r="D23" s="15" t="n">
        <v>0</v>
      </c>
      <c r="E23" s="15" t="n">
        <v>0</v>
      </c>
      <c r="F23" s="15" t="n">
        <v>117</v>
      </c>
      <c r="G23" s="15" t="n">
        <v>117</v>
      </c>
      <c r="H23" s="15" t="n">
        <v>117</v>
      </c>
      <c r="I23" s="15" t="n">
        <v>117</v>
      </c>
      <c r="J23" s="15" t="n">
        <v>117</v>
      </c>
      <c r="K23" s="15" t="n">
        <v>117</v>
      </c>
      <c r="L23" s="15" t="n">
        <v>117</v>
      </c>
      <c r="M23" s="15" t="n">
        <v>117</v>
      </c>
      <c r="N23" s="15" t="n">
        <v>134</v>
      </c>
      <c r="O23" s="15" t="n">
        <v>139</v>
      </c>
      <c r="P23" s="15" t="n">
        <v>150</v>
      </c>
      <c r="Q23" s="15" t="n">
        <v>158</v>
      </c>
      <c r="R23" s="15" t="n">
        <v>165</v>
      </c>
      <c r="S23" s="15" t="n">
        <v>172</v>
      </c>
      <c r="T23" s="15" t="n">
        <v>180</v>
      </c>
      <c r="U23" s="15" t="n">
        <v>189</v>
      </c>
      <c r="V23" s="15" t="n">
        <v>193</v>
      </c>
      <c r="W23" s="15" t="n">
        <v>204</v>
      </c>
      <c r="X23" s="15" t="n">
        <v>216</v>
      </c>
      <c r="Y23" s="15" t="n">
        <v>217</v>
      </c>
      <c r="Z23" s="15" t="n">
        <v>220</v>
      </c>
      <c r="AA23" s="15" t="n">
        <v>224</v>
      </c>
      <c r="AB23" s="15" t="n">
        <v>217</v>
      </c>
      <c r="AC23" s="15" t="n">
        <v>221</v>
      </c>
      <c r="AD23" s="15" t="n">
        <v>221</v>
      </c>
      <c r="AE23" s="15" t="n">
        <v>221</v>
      </c>
      <c r="AF23" s="15" t="n">
        <v>221</v>
      </c>
      <c r="AG23" s="15" t="n">
        <v>227</v>
      </c>
      <c r="AH23" s="15" t="n">
        <v>1</v>
      </c>
      <c r="AI23" s="3" t="s">
        <v>312</v>
      </c>
    </row>
    <row r="24" customFormat="false" ht="15" hidden="false" customHeight="false" outlineLevel="0" collapsed="false">
      <c r="A24" s="1"/>
      <c r="B24" s="5" t="s">
        <v>313</v>
      </c>
      <c r="C24" s="8" t="s">
        <v>314</v>
      </c>
      <c r="D24" s="1"/>
      <c r="E24" s="1"/>
      <c r="F24" s="30" t="n">
        <v>5.3</v>
      </c>
      <c r="G24" s="30" t="n">
        <v>5.3</v>
      </c>
      <c r="H24" s="30" t="n">
        <v>5.3</v>
      </c>
      <c r="I24" s="30" t="n">
        <v>5.3</v>
      </c>
      <c r="J24" s="30" t="n">
        <v>5.5</v>
      </c>
      <c r="K24" s="30" t="n">
        <v>6.3</v>
      </c>
      <c r="L24" s="30" t="n">
        <v>6.6</v>
      </c>
      <c r="M24" s="30" t="n">
        <v>6.9</v>
      </c>
      <c r="N24" s="30" t="n">
        <v>6.5</v>
      </c>
      <c r="O24" s="30" t="n">
        <v>6.6</v>
      </c>
      <c r="P24" s="30" t="n">
        <v>6.4</v>
      </c>
      <c r="Q24" s="30" t="n">
        <v>6.4</v>
      </c>
      <c r="R24" s="30" t="n">
        <v>6.4</v>
      </c>
      <c r="S24" s="30" t="n">
        <v>6.4</v>
      </c>
      <c r="T24" s="30" t="n">
        <v>6.4</v>
      </c>
      <c r="U24" s="30" t="n">
        <v>6.4</v>
      </c>
      <c r="V24" s="30" t="n">
        <v>6.6</v>
      </c>
      <c r="W24" s="30" t="n">
        <v>6.5</v>
      </c>
      <c r="X24" s="30" t="n">
        <v>6.5</v>
      </c>
      <c r="Y24" s="30" t="n">
        <v>6.7</v>
      </c>
      <c r="Z24" s="30" t="n">
        <v>6.9</v>
      </c>
      <c r="AA24" s="30" t="n">
        <v>7.1</v>
      </c>
      <c r="AB24" s="30" t="n">
        <v>7.7</v>
      </c>
      <c r="AC24" s="30" t="n">
        <v>7.9</v>
      </c>
      <c r="AD24" s="30" t="n">
        <v>8.2</v>
      </c>
      <c r="AE24" s="30" t="n">
        <v>8.6</v>
      </c>
      <c r="AF24" s="30" t="n">
        <v>9</v>
      </c>
      <c r="AG24" s="30" t="n">
        <v>9.1</v>
      </c>
      <c r="AH24" s="30" t="n">
        <v>1659.1</v>
      </c>
      <c r="AI24" s="3" t="s">
        <v>315</v>
      </c>
    </row>
    <row r="25" customFormat="false" ht="15" hidden="false" customHeight="false" outlineLevel="0" collapsed="false">
      <c r="A25" s="1"/>
      <c r="B25" s="5" t="s">
        <v>316</v>
      </c>
      <c r="C25" s="8" t="s">
        <v>314</v>
      </c>
      <c r="D25" s="1"/>
      <c r="E25" s="1"/>
      <c r="F25" s="31" t="n">
        <f aca="false">F21/F23</f>
        <v>5.2991452991453</v>
      </c>
      <c r="G25" s="31" t="n">
        <f aca="false">G21/G23</f>
        <v>5.27350427350427</v>
      </c>
      <c r="H25" s="31" t="n">
        <f aca="false">H21/H23</f>
        <v>5.30769230769231</v>
      </c>
      <c r="I25" s="31" t="n">
        <f aca="false">I21/I23</f>
        <v>5.2991452991453</v>
      </c>
      <c r="J25" s="31" t="n">
        <f aca="false">J21/J23</f>
        <v>5.52991452991453</v>
      </c>
      <c r="K25" s="31" t="n">
        <f aca="false">K21/K23</f>
        <v>6.33333333333333</v>
      </c>
      <c r="L25" s="31" t="n">
        <f aca="false">L21/L23</f>
        <v>6.57264957264957</v>
      </c>
      <c r="M25" s="31" t="n">
        <f aca="false">M21/M23</f>
        <v>6.90598290598291</v>
      </c>
      <c r="N25" s="31" t="n">
        <f aca="false">N21/N23</f>
        <v>6.46268656716418</v>
      </c>
      <c r="O25" s="31" t="n">
        <f aca="false">O21/O23</f>
        <v>6.56834532374101</v>
      </c>
      <c r="P25" s="31" t="n">
        <f aca="false">P21/P23</f>
        <v>6.41333333333333</v>
      </c>
      <c r="Q25" s="31" t="n">
        <f aca="false">Q21/Q23</f>
        <v>6.37974683544304</v>
      </c>
      <c r="R25" s="31" t="n">
        <f aca="false">R21/R23</f>
        <v>6.38181818181818</v>
      </c>
      <c r="S25" s="31" t="n">
        <f aca="false">S21/S23</f>
        <v>6.3953488372093</v>
      </c>
      <c r="T25" s="31" t="n">
        <f aca="false">T21/T23</f>
        <v>6.38888888888889</v>
      </c>
      <c r="U25" s="31" t="n">
        <f aca="false">U21/U23</f>
        <v>6.37566137566138</v>
      </c>
      <c r="V25" s="31" t="n">
        <f aca="false">V21/V23</f>
        <v>6.61139896373057</v>
      </c>
      <c r="W25" s="31" t="n">
        <f aca="false">W21/W23</f>
        <v>6.49019607843137</v>
      </c>
      <c r="X25" s="31" t="n">
        <f aca="false">X21/X23</f>
        <v>6.46296296296296</v>
      </c>
      <c r="Y25" s="31" t="n">
        <f aca="false">Y21/Y23</f>
        <v>6.71428571428571</v>
      </c>
      <c r="Z25" s="31" t="n">
        <f aca="false">Z21/Z23</f>
        <v>6.91818181818182</v>
      </c>
      <c r="AA25" s="31" t="n">
        <f aca="false">AA21/AA23</f>
        <v>7.07142857142857</v>
      </c>
      <c r="AB25" s="31" t="n">
        <f aca="false">AB21/AB23</f>
        <v>7.67741935483871</v>
      </c>
      <c r="AC25" s="31" t="n">
        <f aca="false">AC21/AC23</f>
        <v>7.87782805429864</v>
      </c>
      <c r="AD25" s="31" t="n">
        <f aca="false">AD21/AD23</f>
        <v>8.23076923076923</v>
      </c>
      <c r="AE25" s="31" t="n">
        <f aca="false">AE21/AE23</f>
        <v>8.60180995475113</v>
      </c>
      <c r="AF25" s="31" t="n">
        <f aca="false">AF21/AF23</f>
        <v>8.97285067873303</v>
      </c>
      <c r="AG25" s="31" t="n">
        <f aca="false">AG21/AG23</f>
        <v>9.13656387665198</v>
      </c>
      <c r="AH25" s="1"/>
      <c r="AI25" s="3" t="s">
        <v>317</v>
      </c>
    </row>
    <row r="26" customFormat="false" ht="15" hidden="false" customHeight="false" outlineLevel="0" collapsed="false">
      <c r="A26" s="1"/>
      <c r="B26" s="13" t="s">
        <v>318</v>
      </c>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row>
    <row r="27" customFormat="false" ht="15" hidden="false" customHeight="false" outlineLevel="0" collapsed="false">
      <c r="A27" s="1"/>
      <c r="B27" s="5" t="s">
        <v>319</v>
      </c>
      <c r="C27" s="8" t="s">
        <v>289</v>
      </c>
      <c r="D27" s="20" t="n">
        <v>4</v>
      </c>
      <c r="E27" s="20" t="n">
        <v>6.7</v>
      </c>
      <c r="F27" s="20" t="n">
        <v>8</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3" t="s">
        <v>320</v>
      </c>
    </row>
    <row r="28" customFormat="false" ht="15" hidden="false" customHeight="false" outlineLevel="0" collapsed="false">
      <c r="A28" s="1"/>
      <c r="B28" s="5" t="s">
        <v>321</v>
      </c>
      <c r="C28" s="8" t="s">
        <v>123</v>
      </c>
      <c r="D28" s="15" t="n">
        <v>285</v>
      </c>
      <c r="E28" s="15" t="n">
        <v>546</v>
      </c>
      <c r="F28" s="15" t="n">
        <v>680</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customFormat="false" ht="15" hidden="false" customHeight="false" outlineLevel="0" collapsed="false">
      <c r="A29" s="1"/>
      <c r="B29" s="5" t="s">
        <v>322</v>
      </c>
      <c r="C29" s="8" t="s">
        <v>123</v>
      </c>
      <c r="D29" s="15" t="n">
        <v>338</v>
      </c>
      <c r="E29" s="15" t="n">
        <v>633</v>
      </c>
      <c r="F29" s="15" t="n">
        <v>795</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customFormat="false" ht="15" hidden="false" customHeight="false" outlineLevel="0" collapsed="false">
      <c r="A30" s="1"/>
      <c r="B30" s="5" t="s">
        <v>323</v>
      </c>
      <c r="C30" s="8" t="s">
        <v>123</v>
      </c>
      <c r="D30" s="15" t="n">
        <v>139</v>
      </c>
      <c r="E30" s="15" t="n">
        <v>410</v>
      </c>
      <c r="F30" s="15" t="n">
        <v>555</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customFormat="false" ht="15" hidden="false" customHeight="false" outlineLevel="0" collapsed="false">
      <c r="A31" s="1"/>
      <c r="B31" s="5" t="s">
        <v>324</v>
      </c>
      <c r="C31" s="8" t="s">
        <v>123</v>
      </c>
      <c r="D31" s="15" t="n">
        <v>107</v>
      </c>
      <c r="E31" s="15" t="n">
        <v>374</v>
      </c>
      <c r="F31" s="15" t="n">
        <v>605</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customFormat="false" ht="15" hidden="false" customHeight="false" outlineLevel="0" collapsed="false">
      <c r="A32" s="1"/>
      <c r="B32" s="5" t="s">
        <v>325</v>
      </c>
      <c r="C32" s="8" t="s">
        <v>289</v>
      </c>
      <c r="D32" s="20" t="n">
        <v>5.5</v>
      </c>
      <c r="E32" s="20" t="n">
        <v>7.9</v>
      </c>
      <c r="F32" s="20" t="n">
        <v>8.2</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3" t="s">
        <v>326</v>
      </c>
    </row>
    <row r="33" customFormat="false" ht="15" hidden="false" customHeight="false" outlineLevel="0" collapsed="false">
      <c r="A33" s="1"/>
      <c r="B33" s="5" t="s">
        <v>327</v>
      </c>
      <c r="C33" s="8" t="s">
        <v>123</v>
      </c>
      <c r="D33" s="15" t="n">
        <v>413</v>
      </c>
      <c r="E33" s="15" t="n">
        <v>654</v>
      </c>
      <c r="F33" s="15" t="n">
        <v>700</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customFormat="false" ht="15" hidden="false" customHeight="false" outlineLevel="0" collapsed="false">
      <c r="A34" s="1"/>
      <c r="B34" s="5" t="s">
        <v>328</v>
      </c>
      <c r="C34" s="8" t="s">
        <v>123</v>
      </c>
      <c r="D34" s="15" t="n">
        <v>480</v>
      </c>
      <c r="E34" s="15" t="n">
        <v>755</v>
      </c>
      <c r="F34" s="15" t="n">
        <v>818</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customFormat="false" ht="15" hidden="false" customHeight="false" outlineLevel="0" collapsed="false">
      <c r="A35" s="1"/>
      <c r="B35" s="5" t="s">
        <v>329</v>
      </c>
      <c r="C35" s="8" t="s">
        <v>123</v>
      </c>
      <c r="D35" s="15" t="n">
        <v>272</v>
      </c>
      <c r="E35" s="15" t="n">
        <v>522</v>
      </c>
      <c r="F35" s="15" t="n">
        <v>577</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customFormat="false" ht="15" hidden="false" customHeight="false" outlineLevel="0" collapsed="false">
      <c r="A36" s="1"/>
      <c r="B36" s="5" t="s">
        <v>330</v>
      </c>
      <c r="C36" s="8" t="s">
        <v>123</v>
      </c>
      <c r="D36" s="15" t="n">
        <v>239</v>
      </c>
      <c r="E36" s="15" t="n">
        <v>487</v>
      </c>
      <c r="F36" s="15" t="n">
        <v>626</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customFormat="false" ht="15" hidden="false" customHeight="false" outlineLevel="0" collapsed="false">
      <c r="A37" s="1"/>
      <c r="B37" s="8" t="s">
        <v>331</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customFormat="false" ht="15" hidden="false" customHeight="false" outlineLevel="0" collapsed="false">
      <c r="A38" s="1"/>
      <c r="B38" s="8" t="s">
        <v>332</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customFormat="false" ht="15" hidden="false" customHeight="false" outlineLevel="0" collapsed="false">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customFormat="false" ht="15" hidden="false" customHeight="false" outlineLevel="0" collapsed="false">
      <c r="A40" s="1"/>
      <c r="B40" s="3" t="s">
        <v>333</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64"/>
    <col collapsed="false" customWidth="true" hidden="false" outlineLevel="0" max="3" min="3" style="0" width="10"/>
    <col collapsed="false" customWidth="true" hidden="false" outlineLevel="0" max="4" min="4" style="0" width="14"/>
    <col collapsed="false" customWidth="true" hidden="false" outlineLevel="0" max="5" min="5" style="0" width="11"/>
    <col collapsed="false" customWidth="true" hidden="false" outlineLevel="0" max="6" min="6" style="0" width="13"/>
    <col collapsed="false" customWidth="true" hidden="false" outlineLevel="0" max="7" min="7" style="0" width="70"/>
  </cols>
  <sheetData>
    <row r="1" customFormat="false" ht="15" hidden="false" customHeight="false" outlineLevel="0" collapsed="false">
      <c r="A1" s="1"/>
      <c r="B1" s="2" t="s">
        <v>334</v>
      </c>
      <c r="C1" s="1"/>
      <c r="D1" s="1"/>
      <c r="E1" s="1"/>
      <c r="F1" s="1"/>
      <c r="G1" s="1"/>
    </row>
    <row r="2" customFormat="false" ht="15" hidden="false" customHeight="false" outlineLevel="0" collapsed="false">
      <c r="A2" s="1"/>
      <c r="B2" s="3" t="s">
        <v>335</v>
      </c>
      <c r="C2" s="1"/>
      <c r="D2" s="1"/>
      <c r="E2" s="1"/>
      <c r="F2" s="1"/>
      <c r="G2" s="1"/>
    </row>
    <row r="3" customFormat="false" ht="15" hidden="false" customHeight="false" outlineLevel="0" collapsed="false">
      <c r="A3" s="1"/>
      <c r="B3" s="1"/>
      <c r="C3" s="1"/>
      <c r="D3" s="1"/>
      <c r="E3" s="1"/>
      <c r="F3" s="1"/>
      <c r="G3" s="1"/>
    </row>
    <row r="4" customFormat="false" ht="15" hidden="false" customHeight="false" outlineLevel="0" collapsed="false">
      <c r="A4" s="1"/>
      <c r="B4" s="10"/>
      <c r="C4" s="10" t="s">
        <v>46</v>
      </c>
      <c r="D4" s="11" t="s">
        <v>336</v>
      </c>
      <c r="E4" s="11" t="s">
        <v>337</v>
      </c>
      <c r="F4" s="11" t="s">
        <v>338</v>
      </c>
      <c r="G4" s="10" t="s">
        <v>111</v>
      </c>
    </row>
    <row r="5" customFormat="false" ht="15" hidden="false" customHeight="false" outlineLevel="0" collapsed="false">
      <c r="A5" s="1"/>
      <c r="B5" s="12" t="s">
        <v>339</v>
      </c>
      <c r="C5" s="1"/>
      <c r="D5" s="1"/>
      <c r="E5" s="1"/>
      <c r="F5" s="1"/>
      <c r="G5" s="1"/>
    </row>
    <row r="6" customFormat="false" ht="15" hidden="false" customHeight="false" outlineLevel="0" collapsed="false">
      <c r="A6" s="1"/>
      <c r="B6" s="13" t="s">
        <v>340</v>
      </c>
      <c r="C6" s="14"/>
      <c r="D6" s="14"/>
      <c r="E6" s="14"/>
      <c r="F6" s="14"/>
      <c r="G6" s="14"/>
    </row>
    <row r="7" customFormat="false" ht="15" hidden="false" customHeight="false" outlineLevel="0" collapsed="false">
      <c r="A7" s="1"/>
      <c r="B7" s="5" t="s">
        <v>341</v>
      </c>
      <c r="C7" s="8" t="s">
        <v>123</v>
      </c>
      <c r="D7" s="32" t="n">
        <v>16.315</v>
      </c>
      <c r="E7" s="33" t="n">
        <v>0.05</v>
      </c>
      <c r="F7" s="9" t="n">
        <v>49126</v>
      </c>
      <c r="G7" s="3" t="s">
        <v>342</v>
      </c>
    </row>
    <row r="8" customFormat="false" ht="15" hidden="false" customHeight="false" outlineLevel="0" collapsed="false">
      <c r="A8" s="1"/>
      <c r="B8" s="5" t="s">
        <v>343</v>
      </c>
      <c r="C8" s="8" t="s">
        <v>123</v>
      </c>
      <c r="D8" s="32" t="n">
        <v>21.765</v>
      </c>
      <c r="E8" s="33" t="n">
        <v>0.05</v>
      </c>
      <c r="F8" s="9" t="n">
        <v>49491</v>
      </c>
      <c r="G8" s="3" t="s">
        <v>342</v>
      </c>
    </row>
    <row r="9" customFormat="false" ht="15" hidden="false" customHeight="false" outlineLevel="0" collapsed="false">
      <c r="A9" s="1"/>
      <c r="B9" s="5" t="s">
        <v>344</v>
      </c>
      <c r="C9" s="8" t="s">
        <v>123</v>
      </c>
      <c r="D9" s="32" t="n">
        <v>33.715</v>
      </c>
      <c r="E9" s="33" t="n">
        <v>0.05</v>
      </c>
      <c r="F9" s="9" t="n">
        <v>49857</v>
      </c>
      <c r="G9" s="3" t="s">
        <v>342</v>
      </c>
    </row>
    <row r="10" customFormat="false" ht="15" hidden="false" customHeight="false" outlineLevel="0" collapsed="false">
      <c r="A10" s="1"/>
      <c r="B10" s="5" t="s">
        <v>345</v>
      </c>
      <c r="C10" s="8" t="s">
        <v>123</v>
      </c>
      <c r="D10" s="32" t="n">
        <v>43.79</v>
      </c>
      <c r="E10" s="33" t="n">
        <v>0.05</v>
      </c>
      <c r="F10" s="9" t="n">
        <v>50222</v>
      </c>
      <c r="G10" s="3" t="s">
        <v>342</v>
      </c>
    </row>
    <row r="11" customFormat="false" ht="15" hidden="false" customHeight="false" outlineLevel="0" collapsed="false">
      <c r="A11" s="1"/>
      <c r="B11" s="5" t="s">
        <v>346</v>
      </c>
      <c r="C11" s="8" t="s">
        <v>123</v>
      </c>
      <c r="D11" s="32" t="n">
        <v>52.525</v>
      </c>
      <c r="E11" s="33" t="n">
        <v>0.05</v>
      </c>
      <c r="F11" s="9" t="n">
        <v>50587</v>
      </c>
      <c r="G11" s="3" t="s">
        <v>342</v>
      </c>
    </row>
    <row r="12" customFormat="false" ht="15" hidden="false" customHeight="false" outlineLevel="0" collapsed="false">
      <c r="A12" s="1"/>
      <c r="B12" s="5" t="s">
        <v>347</v>
      </c>
      <c r="C12" s="8" t="s">
        <v>123</v>
      </c>
      <c r="D12" s="32" t="n">
        <v>218.625</v>
      </c>
      <c r="E12" s="33" t="n">
        <v>0.05</v>
      </c>
      <c r="F12" s="9" t="n">
        <v>51683</v>
      </c>
      <c r="G12" s="3" t="s">
        <v>342</v>
      </c>
    </row>
    <row r="13" customFormat="false" ht="15" hidden="false" customHeight="false" outlineLevel="0" collapsed="false">
      <c r="A13" s="1"/>
      <c r="B13" s="5" t="s">
        <v>348</v>
      </c>
      <c r="C13" s="8" t="s">
        <v>123</v>
      </c>
      <c r="D13" s="32" t="n">
        <v>213.21</v>
      </c>
      <c r="E13" s="33" t="n">
        <v>0.0525</v>
      </c>
      <c r="F13" s="9" t="n">
        <v>53874</v>
      </c>
      <c r="G13" s="3" t="s">
        <v>342</v>
      </c>
    </row>
    <row r="14" customFormat="false" ht="15" hidden="false" customHeight="false" outlineLevel="0" collapsed="false">
      <c r="A14" s="1"/>
      <c r="B14" s="5" t="s">
        <v>349</v>
      </c>
      <c r="C14" s="8" t="s">
        <v>123</v>
      </c>
      <c r="D14" s="32" t="n">
        <v>485.895</v>
      </c>
      <c r="E14" s="33" t="n">
        <v>0.055</v>
      </c>
      <c r="F14" s="9" t="n">
        <v>56066</v>
      </c>
      <c r="G14" s="3" t="s">
        <v>342</v>
      </c>
    </row>
    <row r="15" customFormat="false" ht="15" hidden="false" customHeight="false" outlineLevel="0" collapsed="false">
      <c r="A15" s="1"/>
      <c r="B15" s="5" t="s">
        <v>350</v>
      </c>
      <c r="C15" s="8" t="s">
        <v>123</v>
      </c>
      <c r="D15" s="32" t="n">
        <v>326.35</v>
      </c>
      <c r="E15" s="33" t="n">
        <v>0.05</v>
      </c>
      <c r="F15" s="9" t="n">
        <v>52779</v>
      </c>
      <c r="G15" s="3" t="s">
        <v>342</v>
      </c>
    </row>
    <row r="16" customFormat="false" ht="15" hidden="false" customHeight="false" outlineLevel="0" collapsed="false">
      <c r="A16" s="1"/>
      <c r="B16" s="5" t="s">
        <v>351</v>
      </c>
      <c r="C16" s="8" t="s">
        <v>123</v>
      </c>
      <c r="D16" s="32" t="n">
        <v>213.18</v>
      </c>
      <c r="E16" s="33" t="n">
        <v>0.0525</v>
      </c>
      <c r="F16" s="9" t="n">
        <v>53874</v>
      </c>
      <c r="G16" s="3" t="s">
        <v>342</v>
      </c>
    </row>
    <row r="17" customFormat="false" ht="15" hidden="false" customHeight="false" outlineLevel="0" collapsed="false">
      <c r="A17" s="1"/>
      <c r="B17" s="5" t="s">
        <v>352</v>
      </c>
      <c r="C17" s="8" t="s">
        <v>123</v>
      </c>
      <c r="D17" s="32" t="n">
        <v>593.91</v>
      </c>
      <c r="E17" s="33" t="n">
        <v>0.0525</v>
      </c>
      <c r="F17" s="9" t="n">
        <v>56066</v>
      </c>
      <c r="G17" s="3" t="s">
        <v>342</v>
      </c>
    </row>
    <row r="18" customFormat="false" ht="15" hidden="false" customHeight="false" outlineLevel="0" collapsed="false">
      <c r="A18" s="1"/>
      <c r="B18" s="17" t="s">
        <v>353</v>
      </c>
      <c r="C18" s="8" t="s">
        <v>123</v>
      </c>
      <c r="D18" s="34" t="n">
        <f aca="false">D7+D8+D9+D10+D11+D12+D13+D14+D15+D16+D17</f>
        <v>2219.28</v>
      </c>
      <c r="E18" s="1"/>
      <c r="F18" s="1"/>
      <c r="G18" s="3" t="s">
        <v>354</v>
      </c>
    </row>
    <row r="19" customFormat="false" ht="15" hidden="false" customHeight="false" outlineLevel="0" collapsed="false">
      <c r="A19" s="1"/>
      <c r="B19" s="5" t="s">
        <v>355</v>
      </c>
      <c r="C19" s="8" t="s">
        <v>123</v>
      </c>
      <c r="D19" s="35" t="n">
        <f aca="false">D15+D16+D17</f>
        <v>1133.44</v>
      </c>
      <c r="E19" s="1"/>
      <c r="F19" s="1"/>
      <c r="G19" s="3" t="s">
        <v>356</v>
      </c>
    </row>
    <row r="20" customFormat="false" ht="15" hidden="false" customHeight="false" outlineLevel="0" collapsed="false">
      <c r="A20" s="1"/>
      <c r="B20" s="5" t="s">
        <v>357</v>
      </c>
      <c r="C20" s="8" t="s">
        <v>123</v>
      </c>
      <c r="D20" s="35" t="n">
        <f aca="false">D18-D19</f>
        <v>1085.84</v>
      </c>
      <c r="E20" s="1"/>
      <c r="F20" s="1"/>
      <c r="G20" s="1"/>
    </row>
    <row r="21" customFormat="false" ht="15" hidden="false" customHeight="false" outlineLevel="0" collapsed="false">
      <c r="A21" s="1"/>
      <c r="B21" s="5" t="s">
        <v>358</v>
      </c>
      <c r="C21" s="8" t="s">
        <v>123</v>
      </c>
      <c r="D21" s="21" t="n">
        <f aca="false">D7*E7+D8*E8+D9*E9+D10*E10+D11*E11+D12*E12+D13*E13+D14*E14+D15*E15+D16*E16+D17*E17</f>
        <v>115.944225</v>
      </c>
      <c r="E21" s="1"/>
      <c r="F21" s="1"/>
      <c r="G21" s="3" t="s">
        <v>359</v>
      </c>
    </row>
    <row r="22" customFormat="false" ht="15" hidden="false" customHeight="false" outlineLevel="0" collapsed="false">
      <c r="A22" s="1"/>
      <c r="B22" s="5" t="s">
        <v>360</v>
      </c>
      <c r="C22" s="8" t="s">
        <v>123</v>
      </c>
      <c r="D22" s="21" t="n">
        <f aca="false">D7*E7+D8*E8+D9*E9+D10*E10+D11*E11+D12*E12+D13*E13+D14*E14</f>
        <v>57.2545</v>
      </c>
      <c r="E22" s="1"/>
      <c r="F22" s="1"/>
      <c r="G22" s="1"/>
    </row>
    <row r="23" customFormat="false" ht="15" hidden="false" customHeight="false" outlineLevel="0" collapsed="false">
      <c r="A23" s="1"/>
      <c r="B23" s="5" t="s">
        <v>361</v>
      </c>
      <c r="C23" s="8" t="s">
        <v>123</v>
      </c>
      <c r="D23" s="21" t="n">
        <f aca="false">D21*1.5</f>
        <v>173.9163375</v>
      </c>
      <c r="E23" s="1"/>
      <c r="F23" s="1"/>
      <c r="G23" s="3" t="s">
        <v>362</v>
      </c>
    </row>
    <row r="24" customFormat="false" ht="15" hidden="false" customHeight="false" outlineLevel="0" collapsed="false">
      <c r="A24" s="1"/>
      <c r="B24" s="13" t="s">
        <v>363</v>
      </c>
      <c r="C24" s="14"/>
      <c r="D24" s="14"/>
      <c r="E24" s="14"/>
      <c r="F24" s="14"/>
      <c r="G24" s="14"/>
    </row>
    <row r="25" customFormat="false" ht="15" hidden="false" customHeight="false" outlineLevel="0" collapsed="false">
      <c r="A25" s="1"/>
      <c r="B25" s="5" t="s">
        <v>364</v>
      </c>
      <c r="C25" s="8" t="s">
        <v>123</v>
      </c>
      <c r="D25" s="20" t="n">
        <v>45</v>
      </c>
      <c r="E25" s="20" t="n">
        <v>0.02</v>
      </c>
      <c r="F25" s="1"/>
      <c r="G25" s="3" t="s">
        <v>365</v>
      </c>
    </row>
    <row r="26" customFormat="false" ht="15" hidden="false" customHeight="false" outlineLevel="0" collapsed="false">
      <c r="A26" s="1"/>
      <c r="B26" s="5" t="s">
        <v>366</v>
      </c>
      <c r="C26" s="8" t="s">
        <v>123</v>
      </c>
      <c r="D26" s="20" t="n">
        <v>257.7</v>
      </c>
      <c r="E26" s="20" t="n">
        <v>0.1</v>
      </c>
      <c r="F26" s="1"/>
      <c r="G26" s="3" t="s">
        <v>367</v>
      </c>
    </row>
    <row r="27" customFormat="false" ht="15" hidden="false" customHeight="false" outlineLevel="0" collapsed="false">
      <c r="A27" s="1"/>
      <c r="B27" s="5" t="s">
        <v>368</v>
      </c>
      <c r="C27" s="8" t="s">
        <v>123</v>
      </c>
      <c r="D27" s="20" t="n">
        <v>140</v>
      </c>
      <c r="E27" s="20" t="n">
        <v>0.085</v>
      </c>
      <c r="F27" s="1"/>
      <c r="G27" s="3" t="s">
        <v>369</v>
      </c>
    </row>
    <row r="28" customFormat="false" ht="15" hidden="false" customHeight="false" outlineLevel="0" collapsed="false">
      <c r="A28" s="1"/>
      <c r="B28" s="5" t="s">
        <v>370</v>
      </c>
      <c r="C28" s="8" t="s">
        <v>123</v>
      </c>
      <c r="D28" s="20" t="n">
        <v>350</v>
      </c>
      <c r="E28" s="20" t="n">
        <v>0.1</v>
      </c>
      <c r="F28" s="1"/>
      <c r="G28" s="3" t="s">
        <v>371</v>
      </c>
    </row>
    <row r="29" customFormat="false" ht="15" hidden="false" customHeight="false" outlineLevel="0" collapsed="false">
      <c r="A29" s="1"/>
      <c r="B29" s="5" t="s">
        <v>372</v>
      </c>
      <c r="C29" s="8" t="s">
        <v>205</v>
      </c>
      <c r="D29" s="36" t="n">
        <v>0.1</v>
      </c>
      <c r="E29" s="1"/>
      <c r="F29" s="1"/>
      <c r="G29" s="3" t="s">
        <v>373</v>
      </c>
    </row>
    <row r="30" customFormat="false" ht="15" hidden="false" customHeight="false" outlineLevel="0" collapsed="false">
      <c r="A30" s="1"/>
      <c r="B30" s="17" t="s">
        <v>374</v>
      </c>
      <c r="C30" s="8" t="s">
        <v>123</v>
      </c>
      <c r="D30" s="22" t="n">
        <f aca="false">D27+D28</f>
        <v>490</v>
      </c>
      <c r="E30" s="1"/>
      <c r="F30" s="1"/>
      <c r="G30" s="1"/>
    </row>
    <row r="31" customFormat="false" ht="15" hidden="false" customHeight="false" outlineLevel="0" collapsed="false">
      <c r="A31" s="1"/>
      <c r="B31" s="13" t="s">
        <v>375</v>
      </c>
      <c r="C31" s="14"/>
      <c r="D31" s="14"/>
      <c r="E31" s="14"/>
      <c r="F31" s="14"/>
      <c r="G31" s="14"/>
    </row>
    <row r="32" customFormat="false" ht="15" hidden="false" customHeight="false" outlineLevel="0" collapsed="false">
      <c r="A32" s="1"/>
      <c r="B32" s="5" t="s">
        <v>376</v>
      </c>
      <c r="C32" s="8" t="s">
        <v>123</v>
      </c>
      <c r="D32" s="20" t="n">
        <v>925</v>
      </c>
      <c r="E32" s="1"/>
      <c r="F32" s="1"/>
      <c r="G32" s="3" t="s">
        <v>377</v>
      </c>
    </row>
    <row r="33" customFormat="false" ht="15" hidden="false" customHeight="false" outlineLevel="0" collapsed="false">
      <c r="A33" s="1"/>
      <c r="B33" s="5" t="s">
        <v>378</v>
      </c>
      <c r="C33" s="8" t="s">
        <v>123</v>
      </c>
      <c r="D33" s="25" t="n">
        <v>285.71</v>
      </c>
      <c r="E33" s="1"/>
      <c r="F33" s="1"/>
      <c r="G33" s="3" t="s">
        <v>379</v>
      </c>
    </row>
    <row r="34" customFormat="false" ht="15" hidden="false" customHeight="false" outlineLevel="0" collapsed="false">
      <c r="A34" s="1"/>
      <c r="B34" s="5" t="s">
        <v>380</v>
      </c>
      <c r="C34" s="8" t="s">
        <v>205</v>
      </c>
      <c r="D34" s="1"/>
      <c r="E34" s="36" t="n">
        <v>0.12</v>
      </c>
      <c r="F34" s="1"/>
      <c r="G34" s="3" t="s">
        <v>381</v>
      </c>
    </row>
    <row r="35" customFormat="false" ht="15" hidden="false" customHeight="false" outlineLevel="0" collapsed="false">
      <c r="A35" s="1"/>
      <c r="B35" s="5" t="s">
        <v>382</v>
      </c>
      <c r="C35" s="8" t="s">
        <v>123</v>
      </c>
      <c r="D35" s="20" t="n">
        <v>985</v>
      </c>
      <c r="E35" s="1"/>
      <c r="F35" s="1"/>
      <c r="G35" s="3" t="s">
        <v>383</v>
      </c>
    </row>
    <row r="36" customFormat="false" ht="15" hidden="false" customHeight="false" outlineLevel="0" collapsed="false">
      <c r="A36" s="1"/>
      <c r="B36" s="5" t="s">
        <v>384</v>
      </c>
      <c r="C36" s="8" t="s">
        <v>123</v>
      </c>
      <c r="D36" s="32" t="n">
        <v>1118.805</v>
      </c>
      <c r="E36" s="32" t="n">
        <v>0.11</v>
      </c>
      <c r="F36" s="1"/>
      <c r="G36" s="3" t="s">
        <v>385</v>
      </c>
    </row>
    <row r="37" customFormat="false" ht="15" hidden="false" customHeight="false" outlineLevel="0" collapsed="false">
      <c r="A37" s="1"/>
      <c r="B37" s="17" t="s">
        <v>386</v>
      </c>
      <c r="C37" s="8" t="s">
        <v>123</v>
      </c>
      <c r="D37" s="22" t="n">
        <f aca="false">D32+D33+D35+D36</f>
        <v>3314.515</v>
      </c>
      <c r="E37" s="1"/>
      <c r="F37" s="1"/>
      <c r="G37" s="1"/>
    </row>
    <row r="38" customFormat="false" ht="15" hidden="false" customHeight="false" outlineLevel="0" collapsed="false">
      <c r="A38" s="1"/>
      <c r="B38" s="13" t="s">
        <v>387</v>
      </c>
      <c r="C38" s="14"/>
      <c r="D38" s="14"/>
      <c r="E38" s="14"/>
      <c r="F38" s="14"/>
      <c r="G38" s="14"/>
    </row>
    <row r="39" customFormat="false" ht="15" hidden="false" customHeight="false" outlineLevel="0" collapsed="false">
      <c r="A39" s="1"/>
      <c r="B39" s="5" t="s">
        <v>388</v>
      </c>
      <c r="C39" s="8" t="s">
        <v>104</v>
      </c>
      <c r="D39" s="37" t="n">
        <f aca="false">WORKDAY(DATE(2026,9,24)+105,3)+45+14</f>
        <v>46458</v>
      </c>
      <c r="E39" s="1"/>
      <c r="F39" s="1"/>
      <c r="G39" s="3" t="s">
        <v>389</v>
      </c>
    </row>
    <row r="40" customFormat="false" ht="15" hidden="false" customHeight="false" outlineLevel="0" collapsed="false">
      <c r="A40" s="1"/>
      <c r="B40" s="5" t="s">
        <v>390</v>
      </c>
      <c r="C40" s="8" t="s">
        <v>123</v>
      </c>
      <c r="D40" s="21" t="n">
        <f aca="false">D26*0.08</f>
        <v>20.616</v>
      </c>
      <c r="E40" s="1"/>
      <c r="F40" s="1"/>
      <c r="G40" s="1"/>
    </row>
    <row r="41" customFormat="false" ht="15" hidden="false" customHeight="false" outlineLevel="0" collapsed="false">
      <c r="A41" s="1"/>
      <c r="B41" s="5" t="s">
        <v>391</v>
      </c>
      <c r="C41" s="8" t="s">
        <v>392</v>
      </c>
      <c r="D41" s="21" t="n">
        <f aca="false">ROUND((D39-DATE(2026,9,24))/30.4375,1)</f>
        <v>5.6</v>
      </c>
      <c r="E41" s="1"/>
      <c r="F41" s="1"/>
      <c r="G41" s="3" t="s">
        <v>393</v>
      </c>
    </row>
    <row r="42" customFormat="false" ht="15" hidden="false" customHeight="false" outlineLevel="0" collapsed="false">
      <c r="A42" s="1"/>
      <c r="B42" s="17" t="s">
        <v>394</v>
      </c>
      <c r="C42" s="8" t="s">
        <v>123</v>
      </c>
      <c r="D42" s="22" t="n">
        <f aca="false">(D26+D40)*(1+0.1/12)^D41</f>
        <v>291.55552110214</v>
      </c>
      <c r="E42" s="1"/>
      <c r="F42" s="1"/>
      <c r="G42" s="1"/>
    </row>
    <row r="43" customFormat="false" ht="15" hidden="false" customHeight="false" outlineLevel="0" collapsed="false">
      <c r="A43" s="1"/>
      <c r="B43" s="5" t="s">
        <v>395</v>
      </c>
      <c r="C43" s="8" t="s">
        <v>123</v>
      </c>
      <c r="D43" s="21" t="n">
        <f aca="false">D30-D42</f>
        <v>198.44447889786</v>
      </c>
      <c r="E43" s="1"/>
      <c r="F43" s="1"/>
      <c r="G43" s="1"/>
    </row>
    <row r="44" customFormat="false" ht="15" hidden="false" customHeight="false" outlineLevel="0" collapsed="false">
      <c r="A44" s="1"/>
      <c r="B44" s="17" t="s">
        <v>396</v>
      </c>
      <c r="C44" s="8" t="s">
        <v>123</v>
      </c>
      <c r="D44" s="22" t="n">
        <f aca="false">D30</f>
        <v>490</v>
      </c>
      <c r="E44" s="1"/>
      <c r="F44" s="1"/>
      <c r="G44" s="1"/>
    </row>
    <row r="45" customFormat="false" ht="15" hidden="false" customHeight="false" outlineLevel="0" collapsed="false">
      <c r="A45" s="1"/>
      <c r="B45" s="17" t="s">
        <v>397</v>
      </c>
      <c r="C45" s="8" t="s">
        <v>123</v>
      </c>
      <c r="D45" s="22" t="n">
        <f aca="false">D42+D43</f>
        <v>490</v>
      </c>
      <c r="E45" s="1"/>
      <c r="F45" s="1"/>
      <c r="G45" s="1"/>
    </row>
    <row r="46" customFormat="false" ht="15" hidden="false" customHeight="false" outlineLevel="0" collapsed="false">
      <c r="A46" s="1"/>
      <c r="B46" s="13" t="s">
        <v>398</v>
      </c>
      <c r="C46" s="14"/>
      <c r="D46" s="14"/>
      <c r="E46" s="14"/>
      <c r="F46" s="14"/>
      <c r="G46" s="14"/>
    </row>
    <row r="47" customFormat="false" ht="15" hidden="false" customHeight="false" outlineLevel="0" collapsed="false">
      <c r="A47" s="1"/>
      <c r="B47" s="5" t="s">
        <v>399</v>
      </c>
      <c r="C47" s="8" t="s">
        <v>123</v>
      </c>
      <c r="D47" s="27" t="n">
        <f aca="false">'Exhibit 1'!$F$31</f>
        <v>72.283</v>
      </c>
      <c r="E47" s="1"/>
      <c r="F47" s="1"/>
      <c r="G47" s="3" t="s">
        <v>400</v>
      </c>
    </row>
    <row r="48" customFormat="false" ht="15" hidden="false" customHeight="false" outlineLevel="0" collapsed="false">
      <c r="A48" s="1"/>
      <c r="B48" s="5" t="s">
        <v>401</v>
      </c>
      <c r="C48" s="8" t="s">
        <v>123</v>
      </c>
      <c r="D48" s="21" t="n">
        <f aca="false">D25</f>
        <v>45</v>
      </c>
      <c r="E48" s="1"/>
      <c r="F48" s="1"/>
      <c r="G48" s="3" t="s">
        <v>402</v>
      </c>
    </row>
    <row r="49" customFormat="false" ht="15" hidden="false" customHeight="false" outlineLevel="0" collapsed="false">
      <c r="A49" s="1"/>
      <c r="B49" s="5" t="s">
        <v>403</v>
      </c>
      <c r="C49" s="8" t="s">
        <v>123</v>
      </c>
      <c r="D49" s="21" t="n">
        <f aca="false">D18</f>
        <v>2219.28</v>
      </c>
      <c r="E49" s="1"/>
      <c r="F49" s="1"/>
      <c r="G49" s="3" t="s">
        <v>402</v>
      </c>
    </row>
    <row r="50" customFormat="false" ht="15" hidden="false" customHeight="false" outlineLevel="0" collapsed="false">
      <c r="A50" s="1"/>
      <c r="B50" s="5" t="s">
        <v>404</v>
      </c>
      <c r="C50" s="8" t="s">
        <v>123</v>
      </c>
      <c r="D50" s="21" t="n">
        <f aca="false">D27</f>
        <v>140</v>
      </c>
      <c r="E50" s="1"/>
      <c r="F50" s="1"/>
      <c r="G50" s="3" t="s">
        <v>405</v>
      </c>
    </row>
    <row r="51" customFormat="false" ht="15" hidden="false" customHeight="false" outlineLevel="0" collapsed="false">
      <c r="A51" s="1"/>
      <c r="B51" s="17" t="s">
        <v>406</v>
      </c>
      <c r="C51" s="8" t="s">
        <v>123</v>
      </c>
      <c r="D51" s="22" t="n">
        <f aca="false">D48+D49+D50</f>
        <v>2404.28</v>
      </c>
      <c r="E51" s="1"/>
      <c r="F51" s="1"/>
      <c r="G51" s="1"/>
    </row>
    <row r="52" customFormat="false" ht="15" hidden="false" customHeight="false" outlineLevel="0" collapsed="false">
      <c r="A52" s="1"/>
      <c r="B52" s="5" t="s">
        <v>407</v>
      </c>
      <c r="C52" s="8" t="s">
        <v>314</v>
      </c>
      <c r="D52" s="38" t="n">
        <f aca="false">D51/D47</f>
        <v>33.262039483696</v>
      </c>
      <c r="E52" s="1"/>
      <c r="F52" s="1"/>
      <c r="G52" s="1"/>
    </row>
    <row r="53" customFormat="false" ht="15" hidden="false" customHeight="false" outlineLevel="0" collapsed="false">
      <c r="A53" s="1"/>
      <c r="B53" s="5" t="s">
        <v>408</v>
      </c>
      <c r="C53" s="8" t="s">
        <v>123</v>
      </c>
      <c r="D53" s="21" t="n">
        <f aca="false">D23</f>
        <v>173.9163375</v>
      </c>
      <c r="E53" s="1"/>
      <c r="F53" s="1"/>
      <c r="G53" s="3" t="s">
        <v>409</v>
      </c>
    </row>
    <row r="54" customFormat="false" ht="15" hidden="false" customHeight="false" outlineLevel="0" collapsed="false">
      <c r="A54" s="1"/>
      <c r="B54" s="17" t="s">
        <v>410</v>
      </c>
      <c r="C54" s="8" t="s">
        <v>123</v>
      </c>
      <c r="D54" s="22" t="n">
        <f aca="false">D51+D53</f>
        <v>2578.1963375</v>
      </c>
      <c r="E54" s="1"/>
      <c r="F54" s="1"/>
      <c r="G54" s="1"/>
    </row>
    <row r="55" customFormat="false" ht="15" hidden="false" customHeight="false" outlineLevel="0" collapsed="false">
      <c r="A55" s="1"/>
      <c r="B55" s="5" t="s">
        <v>411</v>
      </c>
      <c r="C55" s="8" t="s">
        <v>314</v>
      </c>
      <c r="D55" s="38" t="n">
        <f aca="false">D54/D47</f>
        <v>35.6680870674986</v>
      </c>
      <c r="E55" s="1"/>
      <c r="F55" s="1"/>
      <c r="G55" s="1"/>
    </row>
    <row r="56" customFormat="false" ht="15" hidden="false" customHeight="false" outlineLevel="0" collapsed="false">
      <c r="A56" s="1"/>
      <c r="B56" s="5" t="s">
        <v>412</v>
      </c>
      <c r="C56" s="8" t="s">
        <v>123</v>
      </c>
      <c r="D56" s="21" t="n">
        <f aca="false">D28</f>
        <v>350</v>
      </c>
      <c r="E56" s="1"/>
      <c r="F56" s="1"/>
      <c r="G56" s="3" t="s">
        <v>413</v>
      </c>
    </row>
    <row r="57" customFormat="false" ht="15" hidden="false" customHeight="false" outlineLevel="0" collapsed="false">
      <c r="A57" s="1"/>
      <c r="B57" s="17" t="s">
        <v>414</v>
      </c>
      <c r="C57" s="8" t="s">
        <v>123</v>
      </c>
      <c r="D57" s="22" t="n">
        <f aca="false">D54+D56</f>
        <v>2928.1963375</v>
      </c>
      <c r="E57" s="1"/>
      <c r="F57" s="1"/>
      <c r="G57" s="1"/>
    </row>
    <row r="58" customFormat="false" ht="15" hidden="false" customHeight="false" outlineLevel="0" collapsed="false">
      <c r="A58" s="1"/>
      <c r="B58" s="5" t="s">
        <v>415</v>
      </c>
      <c r="C58" s="8" t="s">
        <v>314</v>
      </c>
      <c r="D58" s="38" t="n">
        <f aca="false">D57/D47</f>
        <v>40.5101661178977</v>
      </c>
      <c r="E58" s="1"/>
      <c r="F58" s="1"/>
      <c r="G58" s="1"/>
    </row>
    <row r="59" customFormat="false" ht="15" hidden="false" customHeight="false" outlineLevel="0" collapsed="false">
      <c r="A59" s="1"/>
      <c r="B59" s="1"/>
      <c r="C59" s="1"/>
      <c r="D59" s="1"/>
      <c r="E59" s="1"/>
      <c r="F59" s="1"/>
      <c r="G59" s="1"/>
    </row>
    <row r="60" customFormat="false" ht="15" hidden="false" customHeight="false" outlineLevel="0" collapsed="false">
      <c r="A60" s="1"/>
      <c r="B60" s="3" t="s">
        <v>416</v>
      </c>
      <c r="C60" s="1"/>
      <c r="D60" s="1"/>
      <c r="E60" s="1"/>
      <c r="F60" s="1"/>
      <c r="G60"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84"/>
    <col collapsed="false" customWidth="true" hidden="false" outlineLevel="0" max="3" min="3" style="0" width="10"/>
    <col collapsed="false" customWidth="true" hidden="false" outlineLevel="0" max="4" min="4" style="0" width="14"/>
    <col collapsed="false" customWidth="true" hidden="false" outlineLevel="0" max="5" min="5" style="0" width="70"/>
  </cols>
  <sheetData>
    <row r="1" customFormat="false" ht="15" hidden="false" customHeight="false" outlineLevel="0" collapsed="false">
      <c r="A1" s="1"/>
      <c r="B1" s="2" t="s">
        <v>417</v>
      </c>
      <c r="C1" s="1"/>
      <c r="D1" s="1"/>
      <c r="E1" s="1"/>
    </row>
    <row r="2" customFormat="false" ht="15" hidden="false" customHeight="false" outlineLevel="0" collapsed="false">
      <c r="A2" s="1"/>
      <c r="B2" s="3" t="s">
        <v>418</v>
      </c>
      <c r="C2" s="1"/>
      <c r="D2" s="1"/>
      <c r="E2" s="1"/>
    </row>
    <row r="3" customFormat="false" ht="15" hidden="false" customHeight="false" outlineLevel="0" collapsed="false">
      <c r="A3" s="1"/>
      <c r="B3" s="1"/>
      <c r="C3" s="1"/>
      <c r="D3" s="1"/>
      <c r="E3" s="1"/>
    </row>
    <row r="4" customFormat="false" ht="15" hidden="false" customHeight="false" outlineLevel="0" collapsed="false">
      <c r="A4" s="1"/>
      <c r="B4" s="10"/>
      <c r="C4" s="10" t="s">
        <v>46</v>
      </c>
      <c r="D4" s="11" t="s">
        <v>336</v>
      </c>
      <c r="E4" s="10" t="s">
        <v>111</v>
      </c>
    </row>
    <row r="5" customFormat="false" ht="15" hidden="false" customHeight="false" outlineLevel="0" collapsed="false">
      <c r="A5" s="1"/>
      <c r="B5" s="12" t="s">
        <v>419</v>
      </c>
      <c r="C5" s="1"/>
      <c r="D5" s="1"/>
      <c r="E5" s="1"/>
    </row>
    <row r="6" customFormat="false" ht="15" hidden="false" customHeight="false" outlineLevel="0" collapsed="false">
      <c r="A6" s="1"/>
      <c r="B6" s="13" t="s">
        <v>420</v>
      </c>
      <c r="C6" s="14"/>
      <c r="D6" s="14"/>
      <c r="E6" s="14"/>
    </row>
    <row r="7" customFormat="false" ht="15" hidden="false" customHeight="false" outlineLevel="0" collapsed="false">
      <c r="A7" s="1"/>
      <c r="B7" s="5" t="s">
        <v>421</v>
      </c>
      <c r="C7" s="8" t="s">
        <v>123</v>
      </c>
      <c r="D7" s="20" t="n">
        <v>140</v>
      </c>
      <c r="E7" s="1"/>
    </row>
    <row r="8" customFormat="false" ht="15" hidden="false" customHeight="false" outlineLevel="0" collapsed="false">
      <c r="A8" s="1"/>
      <c r="B8" s="5" t="s">
        <v>422</v>
      </c>
      <c r="C8" s="8" t="s">
        <v>123</v>
      </c>
      <c r="D8" s="20" t="n">
        <v>70</v>
      </c>
      <c r="E8" s="3" t="s">
        <v>423</v>
      </c>
    </row>
    <row r="9" customFormat="false" ht="15" hidden="false" customHeight="false" outlineLevel="0" collapsed="false">
      <c r="A9" s="1"/>
      <c r="B9" s="5" t="s">
        <v>424</v>
      </c>
      <c r="C9" s="8" t="s">
        <v>123</v>
      </c>
      <c r="D9" s="21" t="n">
        <f aca="false">D7-D8</f>
        <v>70</v>
      </c>
      <c r="E9" s="3" t="s">
        <v>425</v>
      </c>
    </row>
    <row r="10" customFormat="false" ht="15" hidden="false" customHeight="false" outlineLevel="0" collapsed="false">
      <c r="A10" s="1"/>
      <c r="B10" s="5" t="s">
        <v>426</v>
      </c>
      <c r="C10" s="8" t="s">
        <v>123</v>
      </c>
      <c r="D10" s="20" t="n">
        <v>50</v>
      </c>
      <c r="E10" s="3" t="s">
        <v>66</v>
      </c>
    </row>
    <row r="11" customFormat="false" ht="15" hidden="false" customHeight="false" outlineLevel="0" collapsed="false">
      <c r="A11" s="1"/>
      <c r="B11" s="5" t="s">
        <v>427</v>
      </c>
      <c r="C11" s="8" t="s">
        <v>205</v>
      </c>
      <c r="D11" s="28" t="n">
        <f aca="false">D10/D9</f>
        <v>0.714285714285714</v>
      </c>
      <c r="E11" s="1"/>
    </row>
    <row r="12" customFormat="false" ht="15" hidden="false" customHeight="false" outlineLevel="0" collapsed="false">
      <c r="A12" s="1"/>
      <c r="B12" s="5" t="s">
        <v>428</v>
      </c>
      <c r="C12" s="8" t="s">
        <v>205</v>
      </c>
      <c r="D12" s="36" t="n">
        <v>0.085</v>
      </c>
      <c r="E12" s="3" t="s">
        <v>429</v>
      </c>
    </row>
    <row r="13" customFormat="false" ht="15" hidden="false" customHeight="false" outlineLevel="0" collapsed="false">
      <c r="A13" s="1"/>
      <c r="B13" s="5" t="s">
        <v>430</v>
      </c>
      <c r="C13" s="8" t="s">
        <v>314</v>
      </c>
      <c r="D13" s="39" t="n">
        <v>1.3</v>
      </c>
      <c r="E13" s="3" t="s">
        <v>431</v>
      </c>
    </row>
    <row r="14" customFormat="false" ht="15" hidden="false" customHeight="false" outlineLevel="0" collapsed="false">
      <c r="A14" s="1"/>
      <c r="B14" s="5" t="s">
        <v>432</v>
      </c>
      <c r="C14" s="8" t="s">
        <v>392</v>
      </c>
      <c r="D14" s="15" t="n">
        <v>12</v>
      </c>
      <c r="E14" s="1"/>
    </row>
    <row r="15" customFormat="false" ht="15" hidden="false" customHeight="false" outlineLevel="0" collapsed="false">
      <c r="A15" s="1"/>
      <c r="B15" s="5" t="s">
        <v>338</v>
      </c>
      <c r="C15" s="8" t="s">
        <v>433</v>
      </c>
      <c r="D15" s="15" t="n">
        <v>10</v>
      </c>
      <c r="E15" s="3" t="s">
        <v>434</v>
      </c>
    </row>
    <row r="16" customFormat="false" ht="15" hidden="false" customHeight="false" outlineLevel="0" collapsed="false">
      <c r="A16" s="1"/>
      <c r="B16" s="5" t="s">
        <v>435</v>
      </c>
      <c r="C16" s="8" t="s">
        <v>205</v>
      </c>
      <c r="D16" s="36" t="n">
        <v>0.02</v>
      </c>
      <c r="E16" s="3" t="s">
        <v>436</v>
      </c>
    </row>
    <row r="17" customFormat="false" ht="15" hidden="false" customHeight="false" outlineLevel="0" collapsed="false">
      <c r="A17" s="1"/>
      <c r="B17" s="5" t="s">
        <v>437</v>
      </c>
      <c r="C17" s="8" t="s">
        <v>123</v>
      </c>
      <c r="D17" s="15" t="n">
        <v>125</v>
      </c>
      <c r="E17" s="3" t="s">
        <v>438</v>
      </c>
    </row>
    <row r="18" customFormat="false" ht="15" hidden="false" customHeight="false" outlineLevel="0" collapsed="false">
      <c r="A18" s="1"/>
      <c r="B18" s="5" t="s">
        <v>439</v>
      </c>
      <c r="C18" s="8" t="s">
        <v>440</v>
      </c>
      <c r="D18" s="15" t="n">
        <v>13</v>
      </c>
      <c r="E18" s="3" t="s">
        <v>441</v>
      </c>
    </row>
    <row r="19" customFormat="false" ht="15" hidden="false" customHeight="false" outlineLevel="0" collapsed="false">
      <c r="A19" s="1"/>
      <c r="B19" s="5" t="s">
        <v>442</v>
      </c>
      <c r="C19" s="8" t="s">
        <v>123</v>
      </c>
      <c r="D19" s="15" t="n">
        <v>0</v>
      </c>
      <c r="E19" s="3" t="s">
        <v>443</v>
      </c>
    </row>
    <row r="20" customFormat="false" ht="15" hidden="false" customHeight="false" outlineLevel="0" collapsed="false">
      <c r="A20" s="1"/>
      <c r="B20" s="13" t="s">
        <v>444</v>
      </c>
      <c r="C20" s="14"/>
      <c r="D20" s="14"/>
      <c r="E20" s="14"/>
    </row>
    <row r="21" customFormat="false" ht="15" hidden="false" customHeight="false" outlineLevel="0" collapsed="false">
      <c r="A21" s="1"/>
      <c r="B21" s="5" t="s">
        <v>421</v>
      </c>
      <c r="C21" s="8" t="s">
        <v>123</v>
      </c>
      <c r="D21" s="20" t="n">
        <v>350</v>
      </c>
      <c r="E21" s="3" t="s">
        <v>445</v>
      </c>
    </row>
    <row r="22" customFormat="false" ht="15" hidden="false" customHeight="false" outlineLevel="0" collapsed="false">
      <c r="A22" s="1"/>
      <c r="B22" s="5" t="s">
        <v>446</v>
      </c>
      <c r="C22" s="8" t="s">
        <v>123</v>
      </c>
      <c r="D22" s="20" t="n">
        <v>6</v>
      </c>
      <c r="E22" s="1"/>
    </row>
    <row r="23" customFormat="false" ht="15" hidden="false" customHeight="false" outlineLevel="0" collapsed="false">
      <c r="A23" s="1"/>
      <c r="B23" s="5" t="s">
        <v>447</v>
      </c>
      <c r="C23" s="8" t="s">
        <v>205</v>
      </c>
      <c r="D23" s="36" t="n">
        <v>0.1</v>
      </c>
      <c r="E23" s="3" t="s">
        <v>448</v>
      </c>
    </row>
    <row r="24" customFormat="false" ht="15" hidden="false" customHeight="false" outlineLevel="0" collapsed="false">
      <c r="A24" s="1"/>
      <c r="B24" s="5" t="s">
        <v>449</v>
      </c>
      <c r="C24" s="8" t="s">
        <v>205</v>
      </c>
      <c r="D24" s="36" t="n">
        <v>0.08</v>
      </c>
      <c r="E24" s="1"/>
    </row>
    <row r="25" customFormat="false" ht="15" hidden="false" customHeight="false" outlineLevel="0" collapsed="false">
      <c r="A25" s="1"/>
      <c r="B25" s="5" t="s">
        <v>450</v>
      </c>
      <c r="C25" s="8" t="s">
        <v>314</v>
      </c>
      <c r="D25" s="39" t="n">
        <v>1.5</v>
      </c>
      <c r="E25" s="3" t="s">
        <v>451</v>
      </c>
    </row>
    <row r="26" customFormat="false" ht="15" hidden="false" customHeight="false" outlineLevel="0" collapsed="false">
      <c r="A26" s="1"/>
      <c r="B26" s="5" t="s">
        <v>338</v>
      </c>
      <c r="C26" s="8" t="s">
        <v>433</v>
      </c>
      <c r="D26" s="15" t="n">
        <v>12</v>
      </c>
      <c r="E26" s="1"/>
    </row>
    <row r="27" customFormat="false" ht="15" hidden="false" customHeight="false" outlineLevel="0" collapsed="false">
      <c r="A27" s="1"/>
      <c r="B27" s="5" t="s">
        <v>452</v>
      </c>
      <c r="C27" s="8" t="s">
        <v>205</v>
      </c>
      <c r="D27" s="36" t="n">
        <v>0.1</v>
      </c>
      <c r="E27" s="1"/>
    </row>
    <row r="28" customFormat="false" ht="15" hidden="false" customHeight="false" outlineLevel="0" collapsed="false">
      <c r="A28" s="1"/>
      <c r="B28" s="13" t="s">
        <v>453</v>
      </c>
      <c r="C28" s="14"/>
      <c r="D28" s="14"/>
      <c r="E28" s="14"/>
    </row>
    <row r="29" customFormat="false" ht="15" hidden="false" customHeight="false" outlineLevel="0" collapsed="false">
      <c r="A29" s="1"/>
      <c r="B29" s="5" t="s">
        <v>454</v>
      </c>
      <c r="C29" s="8" t="s">
        <v>205</v>
      </c>
      <c r="D29" s="33" t="n">
        <v>0.95</v>
      </c>
      <c r="E29" s="3" t="s">
        <v>455</v>
      </c>
    </row>
    <row r="30" customFormat="false" ht="15" hidden="false" customHeight="false" outlineLevel="0" collapsed="false">
      <c r="A30" s="1"/>
      <c r="B30" s="5" t="s">
        <v>456</v>
      </c>
      <c r="C30" s="8" t="s">
        <v>205</v>
      </c>
      <c r="D30" s="33" t="n">
        <v>0.0475</v>
      </c>
      <c r="E30" s="3" t="s">
        <v>455</v>
      </c>
    </row>
    <row r="31" customFormat="false" ht="15" hidden="false" customHeight="false" outlineLevel="0" collapsed="false">
      <c r="A31" s="1"/>
      <c r="B31" s="5" t="s">
        <v>457</v>
      </c>
      <c r="C31" s="8" t="s">
        <v>205</v>
      </c>
      <c r="D31" s="33" t="n">
        <v>0.0025</v>
      </c>
      <c r="E31" s="3" t="s">
        <v>455</v>
      </c>
    </row>
    <row r="32" customFormat="false" ht="15" hidden="false" customHeight="false" outlineLevel="0" collapsed="false">
      <c r="A32" s="1"/>
      <c r="B32" s="17" t="s">
        <v>458</v>
      </c>
      <c r="C32" s="8" t="s">
        <v>205</v>
      </c>
      <c r="D32" s="40" t="n">
        <f aca="false">D29+D30+D31</f>
        <v>1</v>
      </c>
      <c r="E32" s="1"/>
    </row>
    <row r="33" customFormat="false" ht="15" hidden="false" customHeight="false" outlineLevel="0" collapsed="false">
      <c r="A33" s="1"/>
      <c r="B33" s="5" t="s">
        <v>459</v>
      </c>
      <c r="C33" s="8" t="s">
        <v>205</v>
      </c>
      <c r="D33" s="36" t="n">
        <v>0.125</v>
      </c>
      <c r="E33" s="3" t="s">
        <v>460</v>
      </c>
    </row>
    <row r="34" customFormat="false" ht="15" hidden="false" customHeight="false" outlineLevel="0" collapsed="false">
      <c r="A34" s="1"/>
      <c r="B34" s="13" t="s">
        <v>461</v>
      </c>
      <c r="C34" s="14"/>
      <c r="D34" s="14"/>
      <c r="E34" s="14"/>
    </row>
    <row r="35" customFormat="false" ht="15" hidden="false" customHeight="false" outlineLevel="0" collapsed="false">
      <c r="A35" s="1"/>
      <c r="B35" s="5" t="s">
        <v>462</v>
      </c>
      <c r="C35" s="8" t="s">
        <v>123</v>
      </c>
      <c r="D35" s="20" t="n">
        <v>257.7</v>
      </c>
      <c r="E35" s="3" t="s">
        <v>463</v>
      </c>
    </row>
    <row r="36" customFormat="false" ht="15" hidden="false" customHeight="false" outlineLevel="0" collapsed="false">
      <c r="A36" s="1"/>
      <c r="B36" s="5" t="s">
        <v>464</v>
      </c>
      <c r="C36" s="8" t="s">
        <v>205</v>
      </c>
      <c r="D36" s="36" t="n">
        <v>0.1</v>
      </c>
      <c r="E36" s="3" t="s">
        <v>465</v>
      </c>
    </row>
    <row r="37" customFormat="false" ht="15" hidden="false" customHeight="false" outlineLevel="0" collapsed="false">
      <c r="A37" s="1"/>
      <c r="B37" s="5" t="s">
        <v>466</v>
      </c>
      <c r="C37" s="8" t="s">
        <v>205</v>
      </c>
      <c r="D37" s="36" t="n">
        <v>0.08</v>
      </c>
      <c r="E37" s="1"/>
    </row>
    <row r="38" customFormat="false" ht="15" hidden="false" customHeight="false" outlineLevel="0" collapsed="false">
      <c r="A38" s="1"/>
      <c r="B38" s="5" t="s">
        <v>467</v>
      </c>
      <c r="C38" s="8" t="s">
        <v>123</v>
      </c>
      <c r="D38" s="20" t="n">
        <v>104.2</v>
      </c>
      <c r="E38" s="1"/>
    </row>
    <row r="39" customFormat="false" ht="15" hidden="false" customHeight="false" outlineLevel="0" collapsed="false">
      <c r="A39" s="1"/>
      <c r="B39" s="5" t="s">
        <v>468</v>
      </c>
      <c r="C39" s="8" t="s">
        <v>205</v>
      </c>
      <c r="D39" s="36" t="n">
        <v>0.501</v>
      </c>
      <c r="E39" s="3" t="s">
        <v>469</v>
      </c>
    </row>
    <row r="40" customFormat="false" ht="15" hidden="false" customHeight="false" outlineLevel="0" collapsed="false">
      <c r="A40" s="1"/>
      <c r="B40" s="5" t="s">
        <v>470</v>
      </c>
      <c r="C40" s="8" t="s">
        <v>123</v>
      </c>
      <c r="D40" s="32" t="n">
        <v>83.142857</v>
      </c>
      <c r="E40" s="1"/>
    </row>
    <row r="41" customFormat="false" ht="15" hidden="false" customHeight="false" outlineLevel="0" collapsed="false">
      <c r="A41" s="1"/>
      <c r="B41" s="5" t="s">
        <v>471</v>
      </c>
      <c r="C41" s="8" t="s">
        <v>123</v>
      </c>
      <c r="D41" s="20" t="n">
        <v>58.2</v>
      </c>
      <c r="E41" s="1"/>
    </row>
    <row r="42" customFormat="false" ht="15" hidden="false" customHeight="false" outlineLevel="0" collapsed="false">
      <c r="A42" s="1"/>
      <c r="B42" s="5" t="s">
        <v>472</v>
      </c>
      <c r="C42" s="8" t="s">
        <v>123</v>
      </c>
      <c r="D42" s="20" t="n">
        <v>46</v>
      </c>
      <c r="E42" s="3" t="s">
        <v>473</v>
      </c>
    </row>
    <row r="43" customFormat="false" ht="15" hidden="false" customHeight="false" outlineLevel="0" collapsed="false">
      <c r="A43" s="1"/>
      <c r="B43" s="5" t="s">
        <v>474</v>
      </c>
      <c r="C43" s="8" t="s">
        <v>123</v>
      </c>
      <c r="D43" s="25" t="n">
        <v>1133.44</v>
      </c>
      <c r="E43" s="1"/>
    </row>
    <row r="44" customFormat="false" ht="15" hidden="false" customHeight="false" outlineLevel="0" collapsed="false">
      <c r="A44" s="1"/>
      <c r="B44" s="5" t="s">
        <v>475</v>
      </c>
      <c r="C44" s="8" t="s">
        <v>249</v>
      </c>
      <c r="D44" s="15" t="n">
        <v>3</v>
      </c>
      <c r="E44" s="3" t="s">
        <v>476</v>
      </c>
    </row>
    <row r="45" customFormat="false" ht="15" hidden="false" customHeight="false" outlineLevel="0" collapsed="false">
      <c r="A45" s="1"/>
      <c r="B45" s="5" t="s">
        <v>477</v>
      </c>
      <c r="C45" s="8" t="s">
        <v>104</v>
      </c>
      <c r="D45" s="37" t="n">
        <f aca="false">DATE(2031,1,1)</f>
        <v>47849</v>
      </c>
      <c r="E45" s="1"/>
    </row>
    <row r="46" customFormat="false" ht="15" hidden="false" customHeight="false" outlineLevel="0" collapsed="false">
      <c r="A46" s="1"/>
      <c r="B46" s="5" t="s">
        <v>478</v>
      </c>
      <c r="C46" s="8" t="s">
        <v>205</v>
      </c>
      <c r="D46" s="41" t="n">
        <v>0.5</v>
      </c>
      <c r="E46" s="3" t="s">
        <v>479</v>
      </c>
    </row>
    <row r="47" customFormat="false" ht="15" hidden="false" customHeight="false" outlineLevel="0" collapsed="false">
      <c r="A47" s="1"/>
      <c r="B47" s="5" t="s">
        <v>480</v>
      </c>
      <c r="C47" s="8" t="s">
        <v>205</v>
      </c>
      <c r="D47" s="36" t="n">
        <v>0.692</v>
      </c>
      <c r="E47" s="3" t="s">
        <v>481</v>
      </c>
    </row>
    <row r="48" customFormat="false" ht="15" hidden="false" customHeight="false" outlineLevel="0" collapsed="false">
      <c r="A48" s="1"/>
      <c r="B48" s="5" t="s">
        <v>482</v>
      </c>
      <c r="C48" s="8" t="s">
        <v>210</v>
      </c>
      <c r="D48" s="15" t="n">
        <v>315</v>
      </c>
      <c r="E48" s="3" t="s">
        <v>483</v>
      </c>
    </row>
    <row r="49" customFormat="false" ht="15" hidden="false" customHeight="false" outlineLevel="0" collapsed="false">
      <c r="A49" s="1"/>
      <c r="B49" s="5" t="s">
        <v>484</v>
      </c>
      <c r="C49" s="8" t="s">
        <v>210</v>
      </c>
      <c r="D49" s="15" t="n">
        <v>365</v>
      </c>
      <c r="E49" s="1"/>
    </row>
    <row r="50" customFormat="false" ht="15" hidden="false" customHeight="false" outlineLevel="0" collapsed="false">
      <c r="A50" s="1"/>
      <c r="B50" s="1"/>
      <c r="C50" s="1"/>
      <c r="D50" s="1"/>
      <c r="E50" s="1"/>
    </row>
    <row r="51" customFormat="false" ht="15" hidden="false" customHeight="false" outlineLevel="0" collapsed="false">
      <c r="A51" s="1"/>
      <c r="B51" s="3" t="s">
        <v>485</v>
      </c>
      <c r="C51" s="1"/>
      <c r="D51" s="1"/>
      <c r="E51"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88"/>
    <col collapsed="false" customWidth="true" hidden="false" outlineLevel="0" max="3" min="3" style="0" width="10"/>
    <col collapsed="false" customWidth="true" hidden="false" outlineLevel="0" max="4" min="4" style="0" width="14"/>
    <col collapsed="false" customWidth="true" hidden="false" outlineLevel="0" max="5" min="5" style="0" width="70"/>
  </cols>
  <sheetData>
    <row r="1" customFormat="false" ht="15" hidden="false" customHeight="false" outlineLevel="0" collapsed="false">
      <c r="A1" s="1"/>
      <c r="B1" s="2" t="s">
        <v>486</v>
      </c>
      <c r="C1" s="1"/>
      <c r="D1" s="1"/>
      <c r="E1" s="1"/>
    </row>
    <row r="2" customFormat="false" ht="15" hidden="false" customHeight="false" outlineLevel="0" collapsed="false">
      <c r="A2" s="1"/>
      <c r="B2" s="3" t="s">
        <v>487</v>
      </c>
      <c r="C2" s="1"/>
      <c r="D2" s="1"/>
      <c r="E2" s="1"/>
    </row>
    <row r="3" customFormat="false" ht="15" hidden="false" customHeight="false" outlineLevel="0" collapsed="false">
      <c r="A3" s="1"/>
      <c r="B3" s="1"/>
      <c r="C3" s="1"/>
      <c r="D3" s="1"/>
      <c r="E3" s="1"/>
    </row>
    <row r="4" customFormat="false" ht="15" hidden="false" customHeight="false" outlineLevel="0" collapsed="false">
      <c r="A4" s="1"/>
      <c r="B4" s="10"/>
      <c r="C4" s="10" t="s">
        <v>46</v>
      </c>
      <c r="D4" s="11" t="s">
        <v>336</v>
      </c>
      <c r="E4" s="10" t="s">
        <v>111</v>
      </c>
    </row>
    <row r="5" customFormat="false" ht="15" hidden="false" customHeight="false" outlineLevel="0" collapsed="false">
      <c r="A5" s="1"/>
      <c r="B5" s="12" t="s">
        <v>488</v>
      </c>
      <c r="C5" s="1"/>
      <c r="D5" s="1"/>
      <c r="E5" s="1"/>
    </row>
    <row r="6" customFormat="false" ht="15" hidden="false" customHeight="false" outlineLevel="0" collapsed="false">
      <c r="A6" s="1"/>
      <c r="B6" s="13" t="s">
        <v>489</v>
      </c>
      <c r="C6" s="14"/>
      <c r="D6" s="14"/>
      <c r="E6" s="14"/>
    </row>
    <row r="7" customFormat="false" ht="15" hidden="false" customHeight="false" outlineLevel="0" collapsed="false">
      <c r="A7" s="1"/>
      <c r="B7" s="5" t="s">
        <v>490</v>
      </c>
      <c r="C7" s="8" t="s">
        <v>205</v>
      </c>
      <c r="D7" s="42" t="n">
        <v>0.039249</v>
      </c>
      <c r="E7" s="3" t="s">
        <v>491</v>
      </c>
    </row>
    <row r="8" customFormat="false" ht="15" hidden="false" customHeight="false" outlineLevel="0" collapsed="false">
      <c r="A8" s="1"/>
      <c r="B8" s="5" t="s">
        <v>492</v>
      </c>
      <c r="C8" s="8" t="s">
        <v>205</v>
      </c>
      <c r="D8" s="42" t="n">
        <v>0.0403887</v>
      </c>
      <c r="E8" s="3" t="s">
        <v>493</v>
      </c>
    </row>
    <row r="9" customFormat="false" ht="15" hidden="false" customHeight="false" outlineLevel="0" collapsed="false">
      <c r="A9" s="1"/>
      <c r="B9" s="5" t="s">
        <v>494</v>
      </c>
      <c r="C9" s="8" t="s">
        <v>205</v>
      </c>
      <c r="D9" s="33" t="n">
        <v>0.0375</v>
      </c>
      <c r="E9" s="3" t="s">
        <v>495</v>
      </c>
    </row>
    <row r="10" customFormat="false" ht="15" hidden="false" customHeight="false" outlineLevel="0" collapsed="false">
      <c r="A10" s="1"/>
      <c r="B10" s="5" t="s">
        <v>496</v>
      </c>
      <c r="C10" s="8" t="s">
        <v>205</v>
      </c>
      <c r="D10" s="33" t="n">
        <v>0.04</v>
      </c>
      <c r="E10" s="1"/>
    </row>
    <row r="11" customFormat="false" ht="15" hidden="false" customHeight="false" outlineLevel="0" collapsed="false">
      <c r="A11" s="1"/>
      <c r="B11" s="5" t="s">
        <v>497</v>
      </c>
      <c r="C11" s="8" t="s">
        <v>205</v>
      </c>
      <c r="D11" s="43" t="n">
        <f aca="false">D7+'Exhibit 5'!$E$25</f>
        <v>0.059249</v>
      </c>
      <c r="E11" s="3" t="s">
        <v>498</v>
      </c>
    </row>
    <row r="12" customFormat="false" ht="15" hidden="false" customHeight="false" outlineLevel="0" collapsed="false">
      <c r="A12" s="1"/>
      <c r="B12" s="13" t="s">
        <v>499</v>
      </c>
      <c r="C12" s="14"/>
      <c r="D12" s="14"/>
      <c r="E12" s="14"/>
    </row>
    <row r="13" customFormat="false" ht="15" hidden="false" customHeight="false" outlineLevel="0" collapsed="false">
      <c r="A13" s="1"/>
      <c r="B13" s="5" t="s">
        <v>500</v>
      </c>
      <c r="C13" s="8" t="s">
        <v>205</v>
      </c>
      <c r="D13" s="33" t="n">
        <v>0.0515</v>
      </c>
      <c r="E13" s="3" t="s">
        <v>501</v>
      </c>
    </row>
    <row r="14" customFormat="false" ht="15" hidden="false" customHeight="false" outlineLevel="0" collapsed="false">
      <c r="A14" s="1"/>
      <c r="B14" s="5" t="s">
        <v>502</v>
      </c>
      <c r="C14" s="8" t="s">
        <v>205</v>
      </c>
      <c r="D14" s="33" t="n">
        <v>0.0465</v>
      </c>
      <c r="E14" s="3" t="s">
        <v>501</v>
      </c>
    </row>
    <row r="15" customFormat="false" ht="15" hidden="false" customHeight="false" outlineLevel="0" collapsed="false">
      <c r="A15" s="1"/>
      <c r="B15" s="5" t="s">
        <v>503</v>
      </c>
      <c r="C15" s="8" t="s">
        <v>504</v>
      </c>
      <c r="D15" s="20" t="n">
        <v>45.5</v>
      </c>
      <c r="E15" s="3" t="s">
        <v>505</v>
      </c>
    </row>
    <row r="16" customFormat="false" ht="15" hidden="false" customHeight="false" outlineLevel="0" collapsed="false">
      <c r="A16" s="1"/>
      <c r="B16" s="5" t="s">
        <v>506</v>
      </c>
      <c r="C16" s="8" t="s">
        <v>504</v>
      </c>
      <c r="D16" s="15" t="n">
        <v>139</v>
      </c>
      <c r="E16" s="3" t="s">
        <v>507</v>
      </c>
    </row>
    <row r="17" customFormat="false" ht="15" hidden="false" customHeight="false" outlineLevel="0" collapsed="false">
      <c r="A17" s="1"/>
      <c r="B17" s="5" t="s">
        <v>508</v>
      </c>
      <c r="C17" s="8" t="s">
        <v>504</v>
      </c>
      <c r="D17" s="20" t="n">
        <v>64</v>
      </c>
      <c r="E17" s="3" t="s">
        <v>507</v>
      </c>
    </row>
    <row r="18" customFormat="false" ht="15" hidden="false" customHeight="false" outlineLevel="0" collapsed="false">
      <c r="A18" s="1"/>
      <c r="B18" s="5" t="s">
        <v>509</v>
      </c>
      <c r="C18" s="8" t="s">
        <v>504</v>
      </c>
      <c r="D18" s="20" t="n">
        <v>95.6</v>
      </c>
      <c r="E18" s="3" t="s">
        <v>507</v>
      </c>
    </row>
    <row r="19" customFormat="false" ht="15" hidden="false" customHeight="false" outlineLevel="0" collapsed="false">
      <c r="A19" s="1"/>
      <c r="B19" s="5" t="s">
        <v>510</v>
      </c>
      <c r="C19" s="8" t="s">
        <v>504</v>
      </c>
      <c r="D19" s="25" t="n">
        <v>5.37</v>
      </c>
      <c r="E19" s="3" t="s">
        <v>507</v>
      </c>
    </row>
    <row r="20" customFormat="false" ht="15" hidden="false" customHeight="false" outlineLevel="0" collapsed="false">
      <c r="A20" s="1"/>
      <c r="B20" s="5" t="s">
        <v>511</v>
      </c>
      <c r="C20" s="8" t="s">
        <v>504</v>
      </c>
      <c r="D20" s="20" t="n">
        <v>8</v>
      </c>
      <c r="E20" s="3" t="s">
        <v>507</v>
      </c>
    </row>
    <row r="21" customFormat="false" ht="15" hidden="false" customHeight="false" outlineLevel="0" collapsed="false">
      <c r="A21" s="1"/>
      <c r="B21" s="5" t="s">
        <v>512</v>
      </c>
      <c r="C21" s="8" t="s">
        <v>504</v>
      </c>
      <c r="D21" s="25" t="n">
        <v>36.75</v>
      </c>
      <c r="E21" s="3" t="s">
        <v>507</v>
      </c>
    </row>
    <row r="22" customFormat="false" ht="15" hidden="false" customHeight="false" outlineLevel="0" collapsed="false">
      <c r="A22" s="1"/>
      <c r="B22" s="5" t="s">
        <v>513</v>
      </c>
      <c r="C22" s="8" t="s">
        <v>504</v>
      </c>
      <c r="D22" s="20" t="n">
        <v>63</v>
      </c>
      <c r="E22" s="3" t="s">
        <v>507</v>
      </c>
    </row>
    <row r="23" customFormat="false" ht="15" hidden="false" customHeight="false" outlineLevel="0" collapsed="false">
      <c r="A23" s="1"/>
      <c r="B23" s="5" t="s">
        <v>514</v>
      </c>
      <c r="C23" s="8" t="s">
        <v>205</v>
      </c>
      <c r="D23" s="44" t="n">
        <f aca="false">YIELD(DATE(2026,9,28),DATE(2053,7,1),0.055,D15,100,2,0)</f>
        <v>0.126706829174503</v>
      </c>
      <c r="E23" s="3" t="s">
        <v>515</v>
      </c>
    </row>
    <row r="24" customFormat="false" ht="15" hidden="false" customHeight="false" outlineLevel="0" collapsed="false">
      <c r="A24" s="1"/>
      <c r="B24" s="5" t="s">
        <v>516</v>
      </c>
      <c r="C24" s="8" t="s">
        <v>205</v>
      </c>
      <c r="D24" s="44" t="n">
        <f aca="false">YIELD(DATE(2026,9,28),DATE(2047,7,1),0.0525,D15,100,2,0)</f>
        <v>0.12796074269593</v>
      </c>
      <c r="E24" s="3" t="s">
        <v>198</v>
      </c>
    </row>
    <row r="25" customFormat="false" ht="15" hidden="false" customHeight="false" outlineLevel="0" collapsed="false">
      <c r="A25" s="1"/>
      <c r="B25" s="5" t="s">
        <v>517</v>
      </c>
      <c r="C25" s="8" t="s">
        <v>205</v>
      </c>
      <c r="D25" s="44" t="n">
        <f aca="false">YIELD(DATE(2026,4,8),DATE(2053,7,1),0.055,D17,100,2,0)</f>
        <v>0.0909006021974071</v>
      </c>
      <c r="E25" s="3" t="s">
        <v>198</v>
      </c>
    </row>
    <row r="26" customFormat="false" ht="15" hidden="false" customHeight="false" outlineLevel="0" collapsed="false">
      <c r="A26" s="1"/>
      <c r="B26" s="5" t="s">
        <v>518</v>
      </c>
      <c r="C26" s="8" t="s">
        <v>205</v>
      </c>
      <c r="D26" s="44" t="n">
        <f aca="false">YIELD(DATE(2026,10,2),DATE(2053,7,1),0.0525,D18,100,2,0)</f>
        <v>0.0556757698123765</v>
      </c>
      <c r="E26" s="3" t="s">
        <v>519</v>
      </c>
    </row>
    <row r="27" customFormat="false" ht="15" hidden="false" customHeight="false" outlineLevel="0" collapsed="false">
      <c r="A27" s="1"/>
      <c r="B27" s="13" t="s">
        <v>520</v>
      </c>
      <c r="C27" s="14"/>
      <c r="D27" s="14"/>
      <c r="E27" s="14"/>
    </row>
    <row r="28" customFormat="false" ht="15" hidden="false" customHeight="false" outlineLevel="0" collapsed="false">
      <c r="A28" s="1"/>
      <c r="B28" s="5" t="s">
        <v>521</v>
      </c>
      <c r="C28" s="8" t="s">
        <v>205</v>
      </c>
      <c r="D28" s="36" t="n">
        <v>0.1</v>
      </c>
      <c r="E28" s="3" t="s">
        <v>379</v>
      </c>
    </row>
    <row r="29" customFormat="false" ht="15" hidden="false" customHeight="false" outlineLevel="0" collapsed="false">
      <c r="A29" s="1"/>
      <c r="B29" s="5" t="s">
        <v>522</v>
      </c>
      <c r="C29" s="8" t="s">
        <v>205</v>
      </c>
      <c r="D29" s="36" t="n">
        <v>0.08</v>
      </c>
      <c r="E29" s="3" t="s">
        <v>379</v>
      </c>
    </row>
    <row r="30" customFormat="false" ht="15" hidden="false" customHeight="false" outlineLevel="0" collapsed="false">
      <c r="A30" s="1"/>
      <c r="B30" s="5" t="s">
        <v>523</v>
      </c>
      <c r="C30" s="8" t="s">
        <v>205</v>
      </c>
      <c r="D30" s="36" t="n">
        <v>0.075</v>
      </c>
      <c r="E30" s="3" t="s">
        <v>524</v>
      </c>
    </row>
    <row r="31" customFormat="false" ht="15" hidden="false" customHeight="false" outlineLevel="0" collapsed="false">
      <c r="A31" s="1"/>
      <c r="B31" s="5" t="s">
        <v>525</v>
      </c>
      <c r="C31" s="8" t="s">
        <v>504</v>
      </c>
      <c r="D31" s="15" t="n">
        <v>70</v>
      </c>
      <c r="E31" s="3" t="s">
        <v>526</v>
      </c>
    </row>
    <row r="32" customFormat="false" ht="15" hidden="false" customHeight="false" outlineLevel="0" collapsed="false">
      <c r="A32" s="1"/>
      <c r="B32" s="5" t="s">
        <v>527</v>
      </c>
      <c r="C32" s="8" t="s">
        <v>205</v>
      </c>
      <c r="D32" s="36" t="n">
        <v>0.1</v>
      </c>
      <c r="E32" s="3" t="s">
        <v>379</v>
      </c>
    </row>
    <row r="33" customFormat="false" ht="15" hidden="false" customHeight="false" outlineLevel="0" collapsed="false">
      <c r="A33" s="1"/>
      <c r="B33" s="5" t="s">
        <v>528</v>
      </c>
      <c r="C33" s="8" t="s">
        <v>205</v>
      </c>
      <c r="D33" s="36" t="n">
        <v>0.11</v>
      </c>
      <c r="E33" s="3" t="s">
        <v>379</v>
      </c>
    </row>
    <row r="34" customFormat="false" ht="15" hidden="false" customHeight="false" outlineLevel="0" collapsed="false">
      <c r="A34" s="1"/>
      <c r="B34" s="5" t="s">
        <v>529</v>
      </c>
      <c r="C34" s="8" t="s">
        <v>205</v>
      </c>
      <c r="D34" s="44" t="n">
        <f aca="false">D28+D29/3</f>
        <v>0.126666666666667</v>
      </c>
      <c r="E34" s="3" t="s">
        <v>530</v>
      </c>
    </row>
    <row r="35" customFormat="false" ht="15" hidden="false" customHeight="false" outlineLevel="0" collapsed="false">
      <c r="A35" s="1"/>
      <c r="B35" s="5" t="s">
        <v>531</v>
      </c>
      <c r="C35" s="8" t="s">
        <v>205</v>
      </c>
      <c r="D35" s="44" t="n">
        <f aca="false">D30/(D31/100)</f>
        <v>0.107142857142857</v>
      </c>
      <c r="E35" s="3" t="s">
        <v>532</v>
      </c>
    </row>
    <row r="36" customFormat="false" ht="15" hidden="false" customHeight="false" outlineLevel="0" collapsed="false">
      <c r="A36" s="1"/>
      <c r="B36" s="13" t="s">
        <v>533</v>
      </c>
      <c r="C36" s="14"/>
      <c r="D36" s="14"/>
      <c r="E36" s="14"/>
    </row>
    <row r="37" customFormat="false" ht="15" hidden="false" customHeight="false" outlineLevel="0" collapsed="false">
      <c r="A37" s="1"/>
      <c r="B37" s="5" t="s">
        <v>534</v>
      </c>
      <c r="C37" s="8" t="s">
        <v>535</v>
      </c>
      <c r="D37" s="15" t="n">
        <v>155</v>
      </c>
      <c r="E37" s="3" t="s">
        <v>536</v>
      </c>
    </row>
    <row r="38" customFormat="false" ht="15" hidden="false" customHeight="false" outlineLevel="0" collapsed="false">
      <c r="A38" s="1"/>
      <c r="B38" s="5" t="s">
        <v>537</v>
      </c>
      <c r="C38" s="8" t="s">
        <v>535</v>
      </c>
      <c r="D38" s="15" t="n">
        <v>140</v>
      </c>
      <c r="E38" s="3" t="s">
        <v>538</v>
      </c>
    </row>
    <row r="39" customFormat="false" ht="15" hidden="false" customHeight="false" outlineLevel="0" collapsed="false">
      <c r="A39" s="1"/>
      <c r="B39" s="5" t="s">
        <v>539</v>
      </c>
      <c r="C39" s="8" t="s">
        <v>535</v>
      </c>
      <c r="D39" s="15" t="n">
        <v>497</v>
      </c>
      <c r="E39" s="3" t="s">
        <v>538</v>
      </c>
    </row>
    <row r="40" customFormat="false" ht="15" hidden="false" customHeight="false" outlineLevel="0" collapsed="false">
      <c r="A40" s="1"/>
      <c r="B40" s="5" t="s">
        <v>540</v>
      </c>
      <c r="C40" s="8" t="s">
        <v>535</v>
      </c>
      <c r="D40" s="15" t="n">
        <v>340</v>
      </c>
      <c r="E40" s="3" t="s">
        <v>538</v>
      </c>
    </row>
    <row r="41" customFormat="false" ht="15" hidden="false" customHeight="false" outlineLevel="0" collapsed="false">
      <c r="A41" s="1"/>
      <c r="B41" s="5" t="s">
        <v>541</v>
      </c>
      <c r="C41" s="8" t="s">
        <v>535</v>
      </c>
      <c r="D41" s="15" t="n">
        <v>409</v>
      </c>
      <c r="E41" s="3" t="s">
        <v>538</v>
      </c>
    </row>
    <row r="42" customFormat="false" ht="15" hidden="false" customHeight="false" outlineLevel="0" collapsed="false">
      <c r="A42" s="1"/>
      <c r="B42" s="8" t="s">
        <v>542</v>
      </c>
      <c r="C42" s="1"/>
      <c r="D42" s="1"/>
      <c r="E42" s="1"/>
    </row>
    <row r="43" customFormat="false" ht="15" hidden="false" customHeight="false" outlineLevel="0" collapsed="false">
      <c r="A43" s="1"/>
      <c r="B43" s="1"/>
      <c r="C43" s="1"/>
      <c r="D43" s="1"/>
      <c r="E43" s="1"/>
    </row>
    <row r="44" customFormat="false" ht="15" hidden="false" customHeight="false" outlineLevel="0" collapsed="false">
      <c r="A44" s="1"/>
      <c r="B44" s="3" t="s">
        <v>543</v>
      </c>
      <c r="C44" s="1"/>
      <c r="D44" s="1"/>
      <c r="E44"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0"/>
    <col collapsed="false" customWidth="true" hidden="false" outlineLevel="0" max="8" min="4" style="0" width="12"/>
    <col collapsed="false" customWidth="true" hidden="false" outlineLevel="0" max="9" min="9" style="0" width="60"/>
  </cols>
  <sheetData>
    <row r="1" customFormat="false" ht="15" hidden="false" customHeight="false" outlineLevel="0" collapsed="false">
      <c r="A1" s="1"/>
      <c r="B1" s="2" t="s">
        <v>544</v>
      </c>
      <c r="C1" s="1"/>
      <c r="D1" s="1"/>
      <c r="E1" s="1"/>
      <c r="F1" s="1"/>
      <c r="G1" s="1"/>
      <c r="H1" s="1"/>
      <c r="I1" s="1"/>
    </row>
    <row r="2" customFormat="false" ht="15" hidden="false" customHeight="false" outlineLevel="0" collapsed="false">
      <c r="A2" s="1"/>
      <c r="B2" s="3" t="s">
        <v>545</v>
      </c>
      <c r="C2" s="1"/>
      <c r="D2" s="1"/>
      <c r="E2" s="1"/>
      <c r="F2" s="1"/>
      <c r="G2" s="1"/>
      <c r="H2" s="1"/>
      <c r="I2" s="1"/>
    </row>
    <row r="3" customFormat="false" ht="15" hidden="false" customHeight="false" outlineLevel="0" collapsed="false">
      <c r="A3" s="1"/>
      <c r="B3" s="5" t="s">
        <v>103</v>
      </c>
      <c r="C3" s="8" t="s">
        <v>104</v>
      </c>
      <c r="D3" s="9" t="n">
        <v>45565</v>
      </c>
      <c r="E3" s="9" t="n">
        <v>45657</v>
      </c>
      <c r="F3" s="9" t="n">
        <v>45930</v>
      </c>
      <c r="G3" s="9" t="n">
        <v>46112</v>
      </c>
      <c r="H3" s="9" t="n">
        <v>46203</v>
      </c>
      <c r="I3" s="1"/>
    </row>
    <row r="4" customFormat="false" ht="15" hidden="false" customHeight="false" outlineLevel="0" collapsed="false">
      <c r="A4" s="1"/>
      <c r="B4" s="10"/>
      <c r="C4" s="10" t="s">
        <v>46</v>
      </c>
      <c r="D4" s="11" t="s">
        <v>186</v>
      </c>
      <c r="E4" s="11" t="s">
        <v>106</v>
      </c>
      <c r="F4" s="11" t="s">
        <v>190</v>
      </c>
      <c r="G4" s="11" t="s">
        <v>192</v>
      </c>
      <c r="H4" s="11" t="s">
        <v>193</v>
      </c>
      <c r="I4" s="10" t="s">
        <v>111</v>
      </c>
    </row>
    <row r="5" customFormat="false" ht="15" hidden="false" customHeight="false" outlineLevel="0" collapsed="false">
      <c r="A5" s="1"/>
      <c r="B5" s="12" t="s">
        <v>546</v>
      </c>
      <c r="C5" s="1"/>
      <c r="D5" s="1"/>
      <c r="E5" s="1"/>
      <c r="F5" s="1"/>
      <c r="G5" s="1"/>
      <c r="H5" s="1"/>
      <c r="I5" s="1"/>
    </row>
    <row r="6" customFormat="false" ht="15" hidden="false" customHeight="false" outlineLevel="0" collapsed="false">
      <c r="A6" s="1"/>
      <c r="B6" s="5" t="s">
        <v>215</v>
      </c>
      <c r="C6" s="8" t="s">
        <v>116</v>
      </c>
      <c r="D6" s="26" t="n">
        <f aca="false">'Exhibit 2'!$F$8</f>
        <v>633936</v>
      </c>
      <c r="E6" s="26" t="n">
        <f aca="false">'Exhibit 1'!$E$10</f>
        <v>2763512</v>
      </c>
      <c r="F6" s="26" t="n">
        <f aca="false">'Exhibit 2'!$J$8</f>
        <v>735748</v>
      </c>
      <c r="G6" s="26" t="n">
        <f aca="false">'Exhibit 2'!$L$8</f>
        <v>900434</v>
      </c>
      <c r="H6" s="26" t="n">
        <f aca="false">'Exhibit 2'!$M$8</f>
        <v>889242</v>
      </c>
      <c r="I6" s="1"/>
    </row>
    <row r="7" customFormat="false" ht="15" hidden="false" customHeight="false" outlineLevel="0" collapsed="false">
      <c r="A7" s="1"/>
      <c r="B7" s="17" t="s">
        <v>145</v>
      </c>
      <c r="C7" s="8" t="s">
        <v>123</v>
      </c>
      <c r="D7" s="45" t="n">
        <f aca="false">'Exhibit 2'!$F$9</f>
        <v>42.9</v>
      </c>
      <c r="E7" s="45" t="n">
        <f aca="false">'Exhibit 1'!$E$15</f>
        <v>188</v>
      </c>
      <c r="F7" s="45" t="n">
        <f aca="false">'Exhibit 2'!$J$9</f>
        <v>50</v>
      </c>
      <c r="G7" s="45" t="n">
        <f aca="false">'Exhibit 2'!$L$9</f>
        <v>61.2</v>
      </c>
      <c r="H7" s="45" t="n">
        <f aca="false">'Exhibit 2'!$M$9</f>
        <v>62.8</v>
      </c>
      <c r="I7" s="1"/>
    </row>
    <row r="8" customFormat="false" ht="15" hidden="false" customHeight="false" outlineLevel="0" collapsed="false">
      <c r="A8" s="1"/>
      <c r="B8" s="5" t="s">
        <v>547</v>
      </c>
      <c r="C8" s="8" t="s">
        <v>210</v>
      </c>
      <c r="D8" s="15" t="n">
        <v>92</v>
      </c>
      <c r="E8" s="15" t="n">
        <v>366</v>
      </c>
      <c r="F8" s="15" t="n">
        <v>92</v>
      </c>
      <c r="G8" s="15" t="n">
        <v>90</v>
      </c>
      <c r="H8" s="15" t="n">
        <v>91</v>
      </c>
      <c r="I8" s="1"/>
    </row>
    <row r="9" customFormat="false" ht="15" hidden="false" customHeight="false" outlineLevel="0" collapsed="false">
      <c r="A9" s="1"/>
      <c r="B9" s="5" t="s">
        <v>548</v>
      </c>
      <c r="C9" s="8" t="s">
        <v>123</v>
      </c>
      <c r="D9" s="21" t="n">
        <f aca="false">D7*365/D8</f>
        <v>170.201086956522</v>
      </c>
      <c r="E9" s="21" t="n">
        <f aca="false">E7*365/E8</f>
        <v>187.486338797814</v>
      </c>
      <c r="F9" s="21" t="n">
        <f aca="false">F7*365/F8</f>
        <v>198.369565217391</v>
      </c>
      <c r="G9" s="21" t="n">
        <f aca="false">G7*365/G8</f>
        <v>248.2</v>
      </c>
      <c r="H9" s="21" t="n">
        <f aca="false">H7*365/H8</f>
        <v>251.89010989011</v>
      </c>
      <c r="I9" s="1"/>
    </row>
    <row r="10" customFormat="false" ht="15" hidden="false" customHeight="false" outlineLevel="0" collapsed="false">
      <c r="A10" s="1"/>
      <c r="B10" s="8" t="s">
        <v>549</v>
      </c>
      <c r="C10" s="1"/>
      <c r="D10" s="1"/>
      <c r="E10" s="1"/>
      <c r="F10" s="1"/>
      <c r="G10" s="1"/>
      <c r="H10" s="1"/>
      <c r="I10" s="1"/>
    </row>
    <row r="11" customFormat="false" ht="15" hidden="false" customHeight="false" outlineLevel="0" collapsed="false">
      <c r="A11" s="1"/>
      <c r="B11" s="1"/>
      <c r="C11" s="1"/>
      <c r="D11" s="1"/>
      <c r="E11" s="1"/>
      <c r="F11" s="1"/>
      <c r="G11" s="1"/>
      <c r="H11" s="1"/>
      <c r="I11" s="1"/>
    </row>
    <row r="12" customFormat="false" ht="15" hidden="false" customHeight="false" outlineLevel="0" collapsed="false">
      <c r="A12" s="1"/>
      <c r="B12" s="3" t="s">
        <v>550</v>
      </c>
      <c r="C12" s="1"/>
      <c r="D12" s="1"/>
      <c r="E12" s="1"/>
      <c r="F12" s="1"/>
      <c r="G12" s="1"/>
      <c r="H12" s="1"/>
      <c r="I12"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92"/>
    <col collapsed="false" customWidth="true" hidden="false" outlineLevel="0" max="3" min="3" style="0" width="10"/>
    <col collapsed="false" customWidth="true" hidden="false" outlineLevel="0" max="4" min="4" style="0" width="14"/>
    <col collapsed="false" customWidth="true" hidden="false" outlineLevel="0" max="5" min="5" style="0" width="70"/>
  </cols>
  <sheetData>
    <row r="1" customFormat="false" ht="15" hidden="false" customHeight="false" outlineLevel="0" collapsed="false">
      <c r="A1" s="1"/>
      <c r="B1" s="2" t="s">
        <v>551</v>
      </c>
      <c r="C1" s="1"/>
      <c r="D1" s="1"/>
      <c r="E1" s="1"/>
    </row>
    <row r="2" customFormat="false" ht="15" hidden="false" customHeight="false" outlineLevel="0" collapsed="false">
      <c r="A2" s="1"/>
      <c r="B2" s="3" t="s">
        <v>335</v>
      </c>
      <c r="C2" s="1"/>
      <c r="D2" s="1"/>
      <c r="E2" s="1"/>
    </row>
    <row r="3" customFormat="false" ht="15" hidden="false" customHeight="false" outlineLevel="0" collapsed="false">
      <c r="A3" s="1"/>
      <c r="B3" s="1"/>
      <c r="C3" s="1"/>
      <c r="D3" s="1"/>
      <c r="E3" s="1"/>
    </row>
    <row r="4" customFormat="false" ht="15" hidden="false" customHeight="false" outlineLevel="0" collapsed="false">
      <c r="A4" s="1"/>
      <c r="B4" s="10"/>
      <c r="C4" s="10" t="s">
        <v>46</v>
      </c>
      <c r="D4" s="11" t="s">
        <v>336</v>
      </c>
      <c r="E4" s="10" t="s">
        <v>111</v>
      </c>
    </row>
    <row r="5" customFormat="false" ht="15" hidden="false" customHeight="false" outlineLevel="0" collapsed="false">
      <c r="A5" s="1"/>
      <c r="B5" s="12" t="s">
        <v>552</v>
      </c>
      <c r="C5" s="1"/>
      <c r="D5" s="1"/>
      <c r="E5" s="1"/>
    </row>
    <row r="6" customFormat="false" ht="15" hidden="false" customHeight="false" outlineLevel="0" collapsed="false">
      <c r="A6" s="1"/>
      <c r="B6" s="13" t="s">
        <v>553</v>
      </c>
      <c r="C6" s="14"/>
      <c r="D6" s="14"/>
      <c r="E6" s="14"/>
    </row>
    <row r="7" customFormat="false" ht="15" hidden="false" customHeight="false" outlineLevel="0" collapsed="false">
      <c r="A7" s="1"/>
      <c r="B7" s="5" t="s">
        <v>554</v>
      </c>
      <c r="C7" s="8" t="s">
        <v>123</v>
      </c>
      <c r="D7" s="15" t="n">
        <v>175</v>
      </c>
      <c r="E7" s="3" t="s">
        <v>555</v>
      </c>
    </row>
    <row r="8" customFormat="false" ht="15" hidden="false" customHeight="false" outlineLevel="0" collapsed="false">
      <c r="A8" s="1"/>
      <c r="B8" s="5" t="s">
        <v>556</v>
      </c>
      <c r="C8" s="8" t="s">
        <v>123</v>
      </c>
      <c r="D8" s="15" t="n">
        <v>75</v>
      </c>
      <c r="E8" s="3" t="s">
        <v>557</v>
      </c>
    </row>
    <row r="9" customFormat="false" ht="15" hidden="false" customHeight="false" outlineLevel="0" collapsed="false">
      <c r="A9" s="1"/>
      <c r="B9" s="5" t="s">
        <v>558</v>
      </c>
      <c r="C9" s="8" t="s">
        <v>123</v>
      </c>
      <c r="D9" s="15" t="n">
        <v>60</v>
      </c>
      <c r="E9" s="3" t="s">
        <v>557</v>
      </c>
    </row>
    <row r="10" customFormat="false" ht="15" hidden="false" customHeight="false" outlineLevel="0" collapsed="false">
      <c r="A10" s="1"/>
      <c r="B10" s="5" t="s">
        <v>559</v>
      </c>
      <c r="C10" s="8" t="s">
        <v>392</v>
      </c>
      <c r="D10" s="15" t="n">
        <v>12</v>
      </c>
      <c r="E10" s="3" t="s">
        <v>560</v>
      </c>
    </row>
    <row r="11" customFormat="false" ht="15" hidden="false" customHeight="false" outlineLevel="0" collapsed="false">
      <c r="A11" s="1"/>
      <c r="B11" s="5" t="s">
        <v>561</v>
      </c>
      <c r="C11" s="8" t="s">
        <v>314</v>
      </c>
      <c r="D11" s="39" t="n">
        <v>1.3</v>
      </c>
      <c r="E11" s="3" t="s">
        <v>562</v>
      </c>
    </row>
    <row r="12" customFormat="false" ht="15" hidden="false" customHeight="false" outlineLevel="0" collapsed="false">
      <c r="A12" s="1"/>
      <c r="B12" s="5" t="s">
        <v>563</v>
      </c>
      <c r="C12" s="8" t="s">
        <v>314</v>
      </c>
      <c r="D12" s="39" t="n">
        <v>1.1</v>
      </c>
      <c r="E12" s="3" t="s">
        <v>564</v>
      </c>
    </row>
    <row r="13" customFormat="false" ht="15" hidden="false" customHeight="false" outlineLevel="0" collapsed="false">
      <c r="A13" s="1"/>
      <c r="B13" s="5" t="s">
        <v>565</v>
      </c>
      <c r="C13" s="8" t="s">
        <v>566</v>
      </c>
      <c r="D13" s="15" t="n">
        <v>235</v>
      </c>
      <c r="E13" s="3" t="s">
        <v>567</v>
      </c>
    </row>
    <row r="14" customFormat="false" ht="15" hidden="false" customHeight="false" outlineLevel="0" collapsed="false">
      <c r="A14" s="1"/>
      <c r="B14" s="5" t="s">
        <v>568</v>
      </c>
      <c r="C14" s="8" t="s">
        <v>566</v>
      </c>
      <c r="D14" s="15" t="n">
        <v>40</v>
      </c>
      <c r="E14" s="3" t="s">
        <v>569</v>
      </c>
    </row>
    <row r="15" customFormat="false" ht="15" hidden="false" customHeight="false" outlineLevel="0" collapsed="false">
      <c r="A15" s="1"/>
      <c r="B15" s="13" t="s">
        <v>570</v>
      </c>
      <c r="C15" s="14"/>
      <c r="D15" s="14"/>
      <c r="E15" s="14"/>
    </row>
    <row r="16" customFormat="false" ht="15" hidden="false" customHeight="false" outlineLevel="0" collapsed="false">
      <c r="A16" s="1"/>
      <c r="B16" s="5" t="s">
        <v>571</v>
      </c>
      <c r="C16" s="8" t="s">
        <v>123</v>
      </c>
      <c r="D16" s="20" t="n">
        <v>1.378</v>
      </c>
      <c r="E16" s="3" t="s">
        <v>572</v>
      </c>
    </row>
    <row r="17" customFormat="false" ht="15" hidden="false" customHeight="false" outlineLevel="0" collapsed="false">
      <c r="A17" s="1"/>
      <c r="B17" s="5" t="s">
        <v>573</v>
      </c>
      <c r="C17" s="8" t="s">
        <v>123</v>
      </c>
      <c r="D17" s="20" t="n">
        <v>136.92</v>
      </c>
      <c r="E17" s="3" t="s">
        <v>572</v>
      </c>
    </row>
    <row r="18" customFormat="false" ht="15" hidden="false" customHeight="false" outlineLevel="0" collapsed="false">
      <c r="A18" s="1"/>
      <c r="B18" s="5" t="s">
        <v>574</v>
      </c>
      <c r="C18" s="8" t="s">
        <v>123</v>
      </c>
      <c r="D18" s="20" t="n">
        <v>117.4</v>
      </c>
      <c r="E18" s="3" t="s">
        <v>575</v>
      </c>
    </row>
    <row r="19" customFormat="false" ht="15" hidden="false" customHeight="false" outlineLevel="0" collapsed="false">
      <c r="A19" s="1"/>
      <c r="B19" s="5" t="s">
        <v>576</v>
      </c>
      <c r="C19" s="8" t="s">
        <v>123</v>
      </c>
      <c r="D19" s="20" t="n">
        <v>19.5</v>
      </c>
      <c r="E19" s="3" t="s">
        <v>575</v>
      </c>
    </row>
    <row r="20" customFormat="false" ht="15" hidden="false" customHeight="false" outlineLevel="0" collapsed="false">
      <c r="A20" s="1"/>
      <c r="B20" s="5" t="s">
        <v>577</v>
      </c>
      <c r="C20" s="8" t="s">
        <v>123</v>
      </c>
      <c r="D20" s="20" t="n">
        <v>287.8</v>
      </c>
      <c r="E20" s="3" t="s">
        <v>578</v>
      </c>
    </row>
    <row r="21" customFormat="false" ht="15" hidden="false" customHeight="false" outlineLevel="0" collapsed="false">
      <c r="A21" s="1"/>
      <c r="B21" s="5" t="s">
        <v>579</v>
      </c>
      <c r="C21" s="8" t="s">
        <v>123</v>
      </c>
      <c r="D21" s="20" t="n">
        <v>190</v>
      </c>
      <c r="E21" s="3" t="s">
        <v>580</v>
      </c>
    </row>
    <row r="22" customFormat="false" ht="15" hidden="false" customHeight="false" outlineLevel="0" collapsed="false">
      <c r="A22" s="1"/>
      <c r="B22" s="5" t="s">
        <v>581</v>
      </c>
      <c r="C22" s="8" t="s">
        <v>123</v>
      </c>
      <c r="D22" s="20" t="n">
        <v>67.7</v>
      </c>
      <c r="E22" s="3" t="s">
        <v>582</v>
      </c>
    </row>
    <row r="23" customFormat="false" ht="15" hidden="false" customHeight="false" outlineLevel="0" collapsed="false">
      <c r="A23" s="1"/>
      <c r="B23" s="13" t="s">
        <v>583</v>
      </c>
      <c r="C23" s="14"/>
      <c r="D23" s="14"/>
      <c r="E23" s="14"/>
    </row>
    <row r="24" customFormat="false" ht="15" hidden="false" customHeight="false" outlineLevel="0" collapsed="false">
      <c r="A24" s="1"/>
      <c r="B24" s="5" t="s">
        <v>584</v>
      </c>
      <c r="C24" s="1"/>
      <c r="D24" s="1"/>
      <c r="E24" s="3" t="s">
        <v>585</v>
      </c>
    </row>
    <row r="25" customFormat="false" ht="15" hidden="false" customHeight="false" outlineLevel="0" collapsed="false">
      <c r="A25" s="1"/>
      <c r="B25" s="5" t="s">
        <v>586</v>
      </c>
      <c r="C25" s="1"/>
      <c r="D25" s="1"/>
      <c r="E25" s="3" t="s">
        <v>587</v>
      </c>
    </row>
    <row r="26" customFormat="false" ht="15" hidden="false" customHeight="false" outlineLevel="0" collapsed="false">
      <c r="A26" s="1"/>
      <c r="B26" s="5" t="s">
        <v>588</v>
      </c>
      <c r="C26" s="1"/>
      <c r="D26" s="1"/>
      <c r="E26" s="3" t="s">
        <v>572</v>
      </c>
    </row>
    <row r="27" customFormat="false" ht="15" hidden="false" customHeight="false" outlineLevel="0" collapsed="false">
      <c r="A27" s="1"/>
      <c r="B27" s="5" t="s">
        <v>589</v>
      </c>
      <c r="C27" s="1"/>
      <c r="D27" s="1"/>
      <c r="E27" s="3" t="s">
        <v>526</v>
      </c>
    </row>
    <row r="28" customFormat="false" ht="15" hidden="false" customHeight="false" outlineLevel="0" collapsed="false">
      <c r="A28" s="1"/>
      <c r="B28" s="5" t="s">
        <v>590</v>
      </c>
      <c r="C28" s="1"/>
      <c r="D28" s="1"/>
      <c r="E28" s="3" t="s">
        <v>526</v>
      </c>
    </row>
    <row r="29" customFormat="false" ht="15" hidden="false" customHeight="false" outlineLevel="0" collapsed="false">
      <c r="A29" s="1"/>
      <c r="B29" s="5" t="s">
        <v>591</v>
      </c>
      <c r="C29" s="1"/>
      <c r="D29" s="1"/>
      <c r="E29" s="3" t="s">
        <v>526</v>
      </c>
    </row>
    <row r="30" customFormat="false" ht="15" hidden="false" customHeight="false" outlineLevel="0" collapsed="false">
      <c r="A30" s="1"/>
      <c r="B30" s="5" t="s">
        <v>592</v>
      </c>
      <c r="C30" s="1"/>
      <c r="D30" s="1"/>
      <c r="E30" s="3" t="s">
        <v>526</v>
      </c>
    </row>
    <row r="31" customFormat="false" ht="15" hidden="false" customHeight="false" outlineLevel="0" collapsed="false">
      <c r="A31" s="1"/>
      <c r="B31" s="5" t="s">
        <v>593</v>
      </c>
      <c r="C31" s="1"/>
      <c r="D31" s="1"/>
      <c r="E31" s="3" t="s">
        <v>594</v>
      </c>
    </row>
    <row r="32" customFormat="false" ht="15" hidden="false" customHeight="false" outlineLevel="0" collapsed="false">
      <c r="A32" s="1"/>
      <c r="B32" s="5" t="s">
        <v>595</v>
      </c>
      <c r="C32" s="1"/>
      <c r="D32" s="1"/>
      <c r="E32" s="3" t="s">
        <v>582</v>
      </c>
    </row>
    <row r="33" customFormat="false" ht="15" hidden="false" customHeight="false" outlineLevel="0" collapsed="false">
      <c r="A33" s="1"/>
      <c r="B33" s="5" t="s">
        <v>596</v>
      </c>
      <c r="C33" s="1"/>
      <c r="D33" s="1"/>
      <c r="E33" s="3" t="s">
        <v>379</v>
      </c>
    </row>
    <row r="34" customFormat="false" ht="15" hidden="false" customHeight="false" outlineLevel="0" collapsed="false">
      <c r="A34" s="1"/>
      <c r="B34" s="5" t="s">
        <v>597</v>
      </c>
      <c r="C34" s="1"/>
      <c r="D34" s="1"/>
      <c r="E34" s="3" t="s">
        <v>507</v>
      </c>
    </row>
    <row r="35" customFormat="false" ht="15" hidden="false" customHeight="false" outlineLevel="0" collapsed="false">
      <c r="A35" s="1"/>
      <c r="B35" s="5" t="s">
        <v>598</v>
      </c>
      <c r="C35" s="1"/>
      <c r="D35" s="1"/>
      <c r="E35" s="3" t="s">
        <v>379</v>
      </c>
    </row>
    <row r="36" customFormat="false" ht="15" hidden="false" customHeight="false" outlineLevel="0" collapsed="false">
      <c r="A36" s="1"/>
      <c r="B36" s="5" t="s">
        <v>599</v>
      </c>
      <c r="C36" s="1"/>
      <c r="D36" s="1"/>
      <c r="E36" s="3" t="s">
        <v>507</v>
      </c>
    </row>
    <row r="37" customFormat="false" ht="15" hidden="false" customHeight="false" outlineLevel="0" collapsed="false">
      <c r="A37" s="1"/>
      <c r="B37" s="5" t="s">
        <v>600</v>
      </c>
      <c r="C37" s="1"/>
      <c r="D37" s="1"/>
      <c r="E37" s="3" t="s">
        <v>379</v>
      </c>
    </row>
    <row r="38" customFormat="false" ht="15" hidden="false" customHeight="false" outlineLevel="0" collapsed="false">
      <c r="A38" s="1"/>
      <c r="B38" s="1"/>
      <c r="C38" s="1"/>
      <c r="D38" s="1"/>
      <c r="E38" s="1"/>
    </row>
    <row r="39" customFormat="false" ht="15" hidden="false" customHeight="false" outlineLevel="0" collapsed="false">
      <c r="A39" s="1"/>
      <c r="B39" s="3" t="s">
        <v>601</v>
      </c>
      <c r="C39" s="1"/>
      <c r="D39" s="1"/>
      <c r="E39"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0"/>
    <col collapsed="false" customWidth="true" hidden="false" outlineLevel="0" max="10" min="4" style="0" width="12"/>
    <col collapsed="false" customWidth="true" hidden="false" outlineLevel="0" max="11" min="11" style="0" width="60"/>
  </cols>
  <sheetData>
    <row r="1" customFormat="false" ht="15" hidden="false" customHeight="false" outlineLevel="0" collapsed="false">
      <c r="A1" s="1"/>
      <c r="B1" s="2" t="s">
        <v>602</v>
      </c>
      <c r="C1" s="1"/>
      <c r="D1" s="1"/>
      <c r="E1" s="1"/>
      <c r="F1" s="1"/>
      <c r="G1" s="1"/>
      <c r="H1" s="1"/>
      <c r="I1" s="1"/>
      <c r="J1" s="1"/>
      <c r="K1" s="1"/>
    </row>
    <row r="2" customFormat="false" ht="15" hidden="false" customHeight="false" outlineLevel="0" collapsed="false">
      <c r="A2" s="1"/>
      <c r="B2" s="3" t="s">
        <v>214</v>
      </c>
      <c r="C2" s="1"/>
      <c r="D2" s="1"/>
      <c r="E2" s="1"/>
      <c r="F2" s="1"/>
      <c r="G2" s="1"/>
      <c r="H2" s="1"/>
      <c r="I2" s="1"/>
      <c r="J2" s="1"/>
      <c r="K2" s="1"/>
    </row>
    <row r="3" customFormat="false" ht="15" hidden="false" customHeight="false" outlineLevel="0" collapsed="false">
      <c r="A3" s="1"/>
      <c r="B3" s="5" t="s">
        <v>603</v>
      </c>
      <c r="C3" s="8" t="s">
        <v>104</v>
      </c>
      <c r="D3" s="9" t="n">
        <v>46053</v>
      </c>
      <c r="E3" s="9" t="n">
        <v>46081</v>
      </c>
      <c r="F3" s="9" t="n">
        <v>46112</v>
      </c>
      <c r="G3" s="9" t="n">
        <v>46142</v>
      </c>
      <c r="H3" s="9" t="n">
        <v>46173</v>
      </c>
      <c r="I3" s="9" t="n">
        <v>46203</v>
      </c>
      <c r="J3" s="9" t="n">
        <v>46234</v>
      </c>
      <c r="K3" s="1"/>
    </row>
    <row r="4" customFormat="false" ht="15" hidden="false" customHeight="false" outlineLevel="0" collapsed="false">
      <c r="A4" s="1"/>
      <c r="B4" s="10"/>
      <c r="C4" s="10" t="s">
        <v>46</v>
      </c>
      <c r="D4" s="11" t="s">
        <v>604</v>
      </c>
      <c r="E4" s="11" t="s">
        <v>605</v>
      </c>
      <c r="F4" s="11" t="s">
        <v>606</v>
      </c>
      <c r="G4" s="11" t="s">
        <v>607</v>
      </c>
      <c r="H4" s="11" t="s">
        <v>608</v>
      </c>
      <c r="I4" s="11" t="s">
        <v>609</v>
      </c>
      <c r="J4" s="11" t="s">
        <v>610</v>
      </c>
      <c r="K4" s="10" t="s">
        <v>111</v>
      </c>
    </row>
    <row r="5" customFormat="false" ht="15" hidden="false" customHeight="false" outlineLevel="0" collapsed="false">
      <c r="A5" s="1"/>
      <c r="B5" s="12" t="s">
        <v>611</v>
      </c>
      <c r="C5" s="1"/>
      <c r="D5" s="1"/>
      <c r="E5" s="1"/>
      <c r="F5" s="1"/>
      <c r="G5" s="1"/>
      <c r="H5" s="1"/>
      <c r="I5" s="1"/>
      <c r="J5" s="1"/>
      <c r="K5" s="1"/>
    </row>
    <row r="6" customFormat="false" ht="15" hidden="false" customHeight="false" outlineLevel="0" collapsed="false">
      <c r="A6" s="1"/>
      <c r="B6" s="5" t="s">
        <v>612</v>
      </c>
      <c r="C6" s="8" t="s">
        <v>116</v>
      </c>
      <c r="D6" s="15" t="n">
        <v>513429</v>
      </c>
      <c r="E6" s="15" t="n">
        <v>562560</v>
      </c>
      <c r="F6" s="1"/>
      <c r="G6" s="1"/>
      <c r="H6" s="1"/>
      <c r="I6" s="1"/>
      <c r="J6" s="1"/>
      <c r="K6" s="3" t="s">
        <v>613</v>
      </c>
    </row>
    <row r="7" customFormat="false" ht="15" hidden="false" customHeight="false" outlineLevel="0" collapsed="false">
      <c r="A7" s="1"/>
      <c r="B7" s="5" t="s">
        <v>614</v>
      </c>
      <c r="C7" s="8" t="s">
        <v>123</v>
      </c>
      <c r="D7" s="20" t="n">
        <v>33.8</v>
      </c>
      <c r="E7" s="20" t="n">
        <v>37.6</v>
      </c>
      <c r="F7" s="1"/>
      <c r="G7" s="1"/>
      <c r="H7" s="1"/>
      <c r="I7" s="1"/>
      <c r="J7" s="1"/>
      <c r="K7" s="3" t="s">
        <v>198</v>
      </c>
    </row>
    <row r="8" customFormat="false" ht="15" hidden="false" customHeight="false" outlineLevel="0" collapsed="false">
      <c r="A8" s="1"/>
      <c r="B8" s="5" t="s">
        <v>615</v>
      </c>
      <c r="C8" s="8" t="s">
        <v>116</v>
      </c>
      <c r="D8" s="16" t="n">
        <f aca="false">D6-E8</f>
        <v>266346</v>
      </c>
      <c r="E8" s="15" t="n">
        <v>247083</v>
      </c>
      <c r="F8" s="15" t="n">
        <v>280003</v>
      </c>
      <c r="G8" s="15" t="n">
        <v>243285</v>
      </c>
      <c r="H8" s="15" t="n">
        <v>256633</v>
      </c>
      <c r="I8" s="15" t="n">
        <v>254627</v>
      </c>
      <c r="J8" s="15" t="n">
        <v>255472</v>
      </c>
      <c r="K8" s="3" t="s">
        <v>616</v>
      </c>
    </row>
    <row r="9" customFormat="false" ht="15" hidden="false" customHeight="false" outlineLevel="0" collapsed="false">
      <c r="A9" s="1"/>
      <c r="B9" s="5" t="s">
        <v>617</v>
      </c>
      <c r="C9" s="8" t="s">
        <v>116</v>
      </c>
      <c r="D9" s="16" t="n">
        <f aca="false">E6-E9</f>
        <v>288450</v>
      </c>
      <c r="E9" s="15" t="n">
        <v>274110</v>
      </c>
      <c r="F9" s="15" t="n">
        <v>337874</v>
      </c>
      <c r="G9" s="15" t="n">
        <v>292626</v>
      </c>
      <c r="H9" s="15" t="n">
        <v>304277</v>
      </c>
      <c r="I9" s="15" t="n">
        <v>292339</v>
      </c>
      <c r="J9" s="15" t="n">
        <v>289388</v>
      </c>
      <c r="K9" s="3" t="s">
        <v>618</v>
      </c>
    </row>
    <row r="10" customFormat="false" ht="15" hidden="false" customHeight="false" outlineLevel="0" collapsed="false">
      <c r="A10" s="1"/>
      <c r="B10" s="5" t="s">
        <v>204</v>
      </c>
      <c r="C10" s="8" t="s">
        <v>205</v>
      </c>
      <c r="D10" s="28" t="n">
        <f aca="false">D9/D8-1</f>
        <v>0.0829897952287626</v>
      </c>
      <c r="E10" s="28" t="n">
        <f aca="false">E9/E8-1</f>
        <v>0.109384295965323</v>
      </c>
      <c r="F10" s="28" t="n">
        <f aca="false">F9/F8-1</f>
        <v>0.206679928429338</v>
      </c>
      <c r="G10" s="28" t="n">
        <f aca="false">G9/G8-1</f>
        <v>0.202811517356187</v>
      </c>
      <c r="H10" s="28" t="n">
        <f aca="false">H9/H8-1</f>
        <v>0.185650325562184</v>
      </c>
      <c r="I10" s="28" t="n">
        <f aca="false">I9/I8-1</f>
        <v>0.148106838630624</v>
      </c>
      <c r="J10" s="28" t="n">
        <f aca="false">J9/J8-1</f>
        <v>0.132758188764326</v>
      </c>
      <c r="K10" s="1"/>
    </row>
    <row r="11" customFormat="false" ht="15" hidden="false" customHeight="false" outlineLevel="0" collapsed="false">
      <c r="A11" s="1"/>
      <c r="B11" s="5" t="s">
        <v>619</v>
      </c>
      <c r="C11" s="8" t="s">
        <v>123</v>
      </c>
      <c r="D11" s="21" t="n">
        <f aca="false">D7-E11</f>
        <v>16.9</v>
      </c>
      <c r="E11" s="20" t="n">
        <v>16.9</v>
      </c>
      <c r="F11" s="20" t="n">
        <v>20.8</v>
      </c>
      <c r="G11" s="20" t="n">
        <v>16.8</v>
      </c>
      <c r="H11" s="20" t="n">
        <v>17.6</v>
      </c>
      <c r="I11" s="20" t="n">
        <v>16.9</v>
      </c>
      <c r="J11" s="20" t="n">
        <v>17.2</v>
      </c>
      <c r="K11" s="3" t="s">
        <v>618</v>
      </c>
    </row>
    <row r="12" customFormat="false" ht="15" hidden="false" customHeight="false" outlineLevel="0" collapsed="false">
      <c r="A12" s="1"/>
      <c r="B12" s="5" t="s">
        <v>620</v>
      </c>
      <c r="C12" s="8" t="s">
        <v>123</v>
      </c>
      <c r="D12" s="21" t="n">
        <f aca="false">E7-E12</f>
        <v>19.3</v>
      </c>
      <c r="E12" s="20" t="n">
        <v>18.3</v>
      </c>
      <c r="F12" s="20" t="n">
        <v>23.6</v>
      </c>
      <c r="G12" s="20" t="n">
        <v>22.3</v>
      </c>
      <c r="H12" s="20" t="n">
        <v>21.1</v>
      </c>
      <c r="I12" s="20" t="n">
        <v>19.4</v>
      </c>
      <c r="J12" s="20" t="n">
        <v>19.4</v>
      </c>
      <c r="K12" s="3" t="s">
        <v>618</v>
      </c>
    </row>
    <row r="13" customFormat="false" ht="15" hidden="false" customHeight="false" outlineLevel="0" collapsed="false">
      <c r="A13" s="1"/>
      <c r="B13" s="5" t="s">
        <v>621</v>
      </c>
      <c r="C13" s="8" t="s">
        <v>205</v>
      </c>
      <c r="D13" s="28" t="n">
        <f aca="false">D12/D11-1</f>
        <v>0.142011834319527</v>
      </c>
      <c r="E13" s="28" t="n">
        <f aca="false">E12/E11-1</f>
        <v>0.0828402366863907</v>
      </c>
      <c r="F13" s="28" t="n">
        <f aca="false">F12/F11-1</f>
        <v>0.134615384615385</v>
      </c>
      <c r="G13" s="28" t="n">
        <f aca="false">G12/G11-1</f>
        <v>0.327380952380952</v>
      </c>
      <c r="H13" s="28" t="n">
        <f aca="false">H12/H11-1</f>
        <v>0.198863636363636</v>
      </c>
      <c r="I13" s="28" t="n">
        <f aca="false">I12/I11-1</f>
        <v>0.14792899408284</v>
      </c>
      <c r="J13" s="28" t="n">
        <f aca="false">J12/J11-1</f>
        <v>0.127906976744186</v>
      </c>
      <c r="K13" s="1"/>
    </row>
    <row r="14" customFormat="false" ht="15" hidden="false" customHeight="false" outlineLevel="0" collapsed="false">
      <c r="A14" s="1"/>
      <c r="B14" s="5" t="s">
        <v>622</v>
      </c>
      <c r="C14" s="8" t="s">
        <v>133</v>
      </c>
      <c r="D14" s="1"/>
      <c r="E14" s="1"/>
      <c r="F14" s="23" t="n">
        <v>58.22</v>
      </c>
      <c r="G14" s="1"/>
      <c r="H14" s="1"/>
      <c r="I14" s="23" t="n">
        <v>52.16</v>
      </c>
      <c r="J14" s="23" t="n">
        <v>53.66</v>
      </c>
      <c r="K14" s="3" t="s">
        <v>623</v>
      </c>
    </row>
    <row r="15" customFormat="false" ht="15" hidden="false" customHeight="false" outlineLevel="0" collapsed="false">
      <c r="A15" s="1"/>
      <c r="B15" s="5" t="s">
        <v>624</v>
      </c>
      <c r="C15" s="8" t="s">
        <v>205</v>
      </c>
      <c r="D15" s="1"/>
      <c r="E15" s="1"/>
      <c r="F15" s="1"/>
      <c r="G15" s="1"/>
      <c r="H15" s="1"/>
      <c r="I15" s="1"/>
      <c r="J15" s="46" t="n">
        <v>0.88</v>
      </c>
      <c r="K15" s="3" t="s">
        <v>625</v>
      </c>
    </row>
    <row r="16" customFormat="false" ht="15" hidden="false" customHeight="false" outlineLevel="0" collapsed="false">
      <c r="A16" s="1"/>
      <c r="B16" s="5" t="s">
        <v>626</v>
      </c>
      <c r="C16" s="8" t="s">
        <v>249</v>
      </c>
      <c r="D16" s="1"/>
      <c r="E16" s="1"/>
      <c r="F16" s="1"/>
      <c r="G16" s="1"/>
      <c r="H16" s="1"/>
      <c r="I16" s="1"/>
      <c r="J16" s="15" t="n">
        <v>36</v>
      </c>
      <c r="K16" s="3" t="s">
        <v>243</v>
      </c>
    </row>
    <row r="17" customFormat="false" ht="15" hidden="false" customHeight="false" outlineLevel="0" collapsed="false">
      <c r="A17" s="1"/>
      <c r="B17" s="8" t="s">
        <v>627</v>
      </c>
      <c r="C17" s="1"/>
      <c r="D17" s="1"/>
      <c r="E17" s="1"/>
      <c r="F17" s="1"/>
      <c r="G17" s="1"/>
      <c r="H17" s="1"/>
      <c r="I17" s="1"/>
      <c r="J17" s="1"/>
      <c r="K17" s="1"/>
    </row>
    <row r="18" customFormat="false" ht="15" hidden="false" customHeight="false" outlineLevel="0" collapsed="false">
      <c r="A18" s="1"/>
      <c r="B18" s="1"/>
      <c r="C18" s="1"/>
      <c r="D18" s="1"/>
      <c r="E18" s="1"/>
      <c r="F18" s="1"/>
      <c r="G18" s="1"/>
      <c r="H18" s="1"/>
      <c r="I18" s="1"/>
      <c r="J18" s="1"/>
      <c r="K18" s="1"/>
    </row>
    <row r="19" customFormat="false" ht="15" hidden="false" customHeight="false" outlineLevel="0" collapsed="false">
      <c r="A19" s="1"/>
      <c r="B19" s="3" t="s">
        <v>628</v>
      </c>
      <c r="C19" s="1"/>
      <c r="D19" s="1"/>
      <c r="E19" s="1"/>
      <c r="F19" s="1"/>
      <c r="G19" s="1"/>
      <c r="H19" s="1"/>
      <c r="I19" s="1"/>
      <c r="J19" s="1"/>
      <c r="K19"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84"/>
    <col collapsed="false" customWidth="true" hidden="false" outlineLevel="0" max="3" min="3" style="0" width="10"/>
  </cols>
  <sheetData>
    <row r="1" customFormat="false" ht="15" hidden="false" customHeight="false" outlineLevel="0" collapsed="false">
      <c r="A1" s="1"/>
      <c r="B1" s="2" t="s">
        <v>629</v>
      </c>
      <c r="C1" s="1"/>
      <c r="D1" s="1"/>
      <c r="E1" s="1"/>
      <c r="F1" s="1"/>
      <c r="G1" s="1"/>
      <c r="H1" s="1"/>
    </row>
    <row r="2" customFormat="false" ht="15" hidden="false" customHeight="false" outlineLevel="0" collapsed="false">
      <c r="A2" s="1"/>
      <c r="B2" s="3" t="s">
        <v>630</v>
      </c>
      <c r="C2" s="1"/>
      <c r="D2" s="1"/>
      <c r="E2" s="1"/>
      <c r="F2" s="1"/>
      <c r="G2" s="1"/>
      <c r="H2" s="1"/>
    </row>
    <row r="3" customFormat="false" ht="15" hidden="false" customHeight="false" outlineLevel="0" collapsed="false">
      <c r="A3" s="1"/>
      <c r="B3" s="1"/>
      <c r="C3" s="1"/>
      <c r="D3" s="1"/>
      <c r="E3" s="1"/>
      <c r="F3" s="1"/>
      <c r="G3" s="1"/>
      <c r="H3" s="1"/>
    </row>
    <row r="4" customFormat="false" ht="15" hidden="false" customHeight="false" outlineLevel="0" collapsed="false">
      <c r="A4" s="1"/>
      <c r="B4" s="47" t="s">
        <v>631</v>
      </c>
      <c r="C4" s="47" t="s">
        <v>46</v>
      </c>
      <c r="D4" s="47" t="s">
        <v>632</v>
      </c>
      <c r="E4" s="47" t="s">
        <v>633</v>
      </c>
      <c r="F4" s="47" t="s">
        <v>634</v>
      </c>
      <c r="G4" s="47" t="s">
        <v>62</v>
      </c>
      <c r="H4" s="47" t="s">
        <v>635</v>
      </c>
    </row>
    <row r="5" customFormat="false" ht="15" hidden="false" customHeight="false" outlineLevel="0" collapsed="false">
      <c r="A5" s="1"/>
      <c r="B5" s="13" t="s">
        <v>636</v>
      </c>
      <c r="C5" s="14"/>
      <c r="D5" s="14"/>
      <c r="E5" s="14"/>
      <c r="F5" s="14"/>
      <c r="G5" s="14"/>
      <c r="H5" s="14"/>
    </row>
    <row r="6" customFormat="false" ht="15" hidden="false" customHeight="false" outlineLevel="0" collapsed="false">
      <c r="A6" s="1"/>
      <c r="B6" s="1" t="s">
        <v>637</v>
      </c>
      <c r="C6" s="1" t="s">
        <v>123</v>
      </c>
      <c r="D6" s="48" t="n">
        <f aca="false">'Exhibit 5'!$D$44-'Exhibit 5'!$D$45</f>
        <v>0</v>
      </c>
      <c r="E6" s="49" t="n">
        <v>0</v>
      </c>
      <c r="F6" s="48" t="n">
        <f aca="false">D6-E6</f>
        <v>0</v>
      </c>
      <c r="G6" s="50" t="n">
        <v>0</v>
      </c>
      <c r="H6" s="4" t="str">
        <f aca="false">IF(ABS(F6)&lt;=G6+0.000000001,"OK","FAIL")</f>
        <v>OK</v>
      </c>
    </row>
    <row r="7" customFormat="false" ht="15" hidden="false" customHeight="false" outlineLevel="0" collapsed="false">
      <c r="A7" s="1"/>
      <c r="B7" s="1" t="s">
        <v>638</v>
      </c>
      <c r="C7" s="1" t="s">
        <v>123</v>
      </c>
      <c r="D7" s="48" t="n">
        <f aca="false">'Exhibit 5'!$D$19+'Exhibit 5'!$D$20-'Exhibit 5'!$D$18</f>
        <v>0</v>
      </c>
      <c r="E7" s="49" t="n">
        <v>0</v>
      </c>
      <c r="F7" s="48" t="n">
        <f aca="false">D7-E7</f>
        <v>0</v>
      </c>
      <c r="G7" s="50" t="n">
        <v>0</v>
      </c>
      <c r="H7" s="4" t="str">
        <f aca="false">IF(ABS(F7)&lt;=G7+0.000000001,"OK","FAIL")</f>
        <v>OK</v>
      </c>
    </row>
    <row r="8" customFormat="false" ht="15" hidden="false" customHeight="false" outlineLevel="0" collapsed="false">
      <c r="A8" s="1"/>
      <c r="B8" s="1" t="s">
        <v>639</v>
      </c>
      <c r="C8" s="1" t="s">
        <v>116</v>
      </c>
      <c r="D8" s="51" t="n">
        <f aca="false">'Exhibit 2'!$D$8+'Exhibit 2'!$E$8+'Exhibit 2'!$F$8+'Exhibit 2'!$G$8-'Exhibit 3'!$D$11</f>
        <v>0</v>
      </c>
      <c r="E8" s="52" t="n">
        <v>0</v>
      </c>
      <c r="F8" s="51" t="n">
        <f aca="false">D8-E8</f>
        <v>0</v>
      </c>
      <c r="G8" s="50" t="n">
        <v>0</v>
      </c>
      <c r="H8" s="4" t="str">
        <f aca="false">IF(ABS(F8)&lt;=G8+0.000000001,"OK","FAIL")</f>
        <v>OK</v>
      </c>
    </row>
    <row r="9" customFormat="false" ht="15" hidden="false" customHeight="false" outlineLevel="0" collapsed="false">
      <c r="A9" s="1"/>
      <c r="B9" s="1" t="s">
        <v>640</v>
      </c>
      <c r="C9" s="1" t="s">
        <v>116</v>
      </c>
      <c r="D9" s="51" t="n">
        <f aca="false">'Exhibit 2'!$H$8+'Exhibit 2'!$I$8+'Exhibit 2'!$J$8+'Exhibit 2'!$K$8-'Exhibit 3'!$D$17</f>
        <v>0</v>
      </c>
      <c r="E9" s="52" t="n">
        <v>0</v>
      </c>
      <c r="F9" s="51" t="n">
        <f aca="false">D9-E9</f>
        <v>0</v>
      </c>
      <c r="G9" s="50" t="n">
        <v>0</v>
      </c>
      <c r="H9" s="4" t="str">
        <f aca="false">IF(ABS(F9)&lt;=G9+0.000000001,"OK","FAIL")</f>
        <v>OK</v>
      </c>
    </row>
    <row r="10" customFormat="false" ht="15" hidden="false" customHeight="false" outlineLevel="0" collapsed="false">
      <c r="A10" s="1"/>
      <c r="B10" s="1" t="s">
        <v>641</v>
      </c>
      <c r="C10" s="1" t="s">
        <v>123</v>
      </c>
      <c r="D10" s="48" t="n">
        <f aca="false">ROUND('Exhibit 2'!$H$9+'Exhibit 2'!$I$9+'Exhibit 2'!$J$9+'Exhibit 2'!$K$9-'Exhibit 3'!$E$17,9)</f>
        <v>0</v>
      </c>
      <c r="E10" s="49" t="n">
        <v>0</v>
      </c>
      <c r="F10" s="48" t="n">
        <f aca="false">D10-E10</f>
        <v>0</v>
      </c>
      <c r="G10" s="50" t="n">
        <v>0</v>
      </c>
      <c r="H10" s="4" t="str">
        <f aca="false">IF(ABS(F10)&lt;=G10+0.000000001,"OK","FAIL")</f>
        <v>OK</v>
      </c>
    </row>
    <row r="11" customFormat="false" ht="15" hidden="false" customHeight="false" outlineLevel="0" collapsed="false">
      <c r="A11" s="1"/>
      <c r="B11" s="1" t="s">
        <v>642</v>
      </c>
      <c r="C11" s="1" t="s">
        <v>205</v>
      </c>
      <c r="D11" s="53" t="n">
        <f aca="false">'Exhibit 6'!$D$32-1</f>
        <v>0</v>
      </c>
      <c r="E11" s="54" t="n">
        <v>0</v>
      </c>
      <c r="F11" s="53" t="n">
        <f aca="false">D11-E11</f>
        <v>0</v>
      </c>
      <c r="G11" s="50" t="n">
        <v>0</v>
      </c>
      <c r="H11" s="4" t="str">
        <f aca="false">IF(ABS(F11)&lt;=G11+0.000000001,"OK","FAIL")</f>
        <v>OK</v>
      </c>
    </row>
    <row r="12" customFormat="false" ht="15" hidden="false" customHeight="false" outlineLevel="0" collapsed="false">
      <c r="A12" s="1"/>
      <c r="B12" s="1" t="s">
        <v>643</v>
      </c>
      <c r="C12" s="1" t="s">
        <v>123</v>
      </c>
      <c r="D12" s="48" t="n">
        <f aca="false">'Exhibit 6'!$D$8+'Exhibit 6'!$D$9-'Exhibit 6'!$D$7</f>
        <v>0</v>
      </c>
      <c r="E12" s="49" t="n">
        <v>0</v>
      </c>
      <c r="F12" s="48" t="n">
        <f aca="false">D12-E12</f>
        <v>0</v>
      </c>
      <c r="G12" s="50" t="n">
        <v>0</v>
      </c>
      <c r="H12" s="4" t="str">
        <f aca="false">IF(ABS(F12)&lt;=G12+0.000000001,"OK","FAIL")</f>
        <v>OK</v>
      </c>
    </row>
    <row r="13" customFormat="false" ht="15" hidden="false" customHeight="false" outlineLevel="0" collapsed="false">
      <c r="A13" s="1"/>
      <c r="B13" s="1" t="s">
        <v>644</v>
      </c>
      <c r="C13" s="1" t="s">
        <v>116</v>
      </c>
      <c r="D13" s="51" t="n">
        <f aca="false">'Exhibit 1'!$I$10-('Exhibit 3'!$D$17+'Exhibit 3'!$D$19-'Exhibit 3'!$D$13)</f>
        <v>0</v>
      </c>
      <c r="E13" s="52" t="n">
        <v>0</v>
      </c>
      <c r="F13" s="51" t="n">
        <f aca="false">D13-E13</f>
        <v>0</v>
      </c>
      <c r="G13" s="50" t="n">
        <v>0</v>
      </c>
      <c r="H13" s="4" t="str">
        <f aca="false">IF(ABS(F13)&lt;=G13+0.000000001,"OK","FAIL")</f>
        <v>OK</v>
      </c>
    </row>
    <row r="14" customFormat="false" ht="15" hidden="false" customHeight="false" outlineLevel="0" collapsed="false">
      <c r="A14" s="1"/>
      <c r="B14" s="1" t="s">
        <v>645</v>
      </c>
      <c r="C14" s="1" t="s">
        <v>116</v>
      </c>
      <c r="D14" s="51" t="n">
        <f aca="false">'Exhibit 8'!$H$6-'Exhibit 2'!$M$8</f>
        <v>0</v>
      </c>
      <c r="E14" s="52" t="n">
        <v>0</v>
      </c>
      <c r="F14" s="51" t="n">
        <f aca="false">D14-E14</f>
        <v>0</v>
      </c>
      <c r="G14" s="50" t="n">
        <v>0</v>
      </c>
      <c r="H14" s="4" t="str">
        <f aca="false">IF(ABS(F14)&lt;=G14+0.000000001,"OK","FAIL")</f>
        <v>OK</v>
      </c>
    </row>
    <row r="15" customFormat="false" ht="15" hidden="false" customHeight="false" outlineLevel="0" collapsed="false">
      <c r="A15" s="1"/>
      <c r="B15" s="13" t="s">
        <v>646</v>
      </c>
      <c r="C15" s="14"/>
      <c r="D15" s="14"/>
      <c r="E15" s="14"/>
      <c r="F15" s="14"/>
      <c r="G15" s="14"/>
      <c r="H15" s="14"/>
    </row>
    <row r="16" customFormat="false" ht="15" hidden="false" customHeight="false" outlineLevel="0" collapsed="false">
      <c r="A16" s="1"/>
      <c r="B16" s="1" t="s">
        <v>647</v>
      </c>
      <c r="C16" s="1" t="s">
        <v>116</v>
      </c>
      <c r="D16" s="51" t="n">
        <f aca="false">'Exhibit 1'!$E$10</f>
        <v>2763512</v>
      </c>
      <c r="E16" s="52" t="n">
        <v>2763512</v>
      </c>
      <c r="F16" s="51" t="n">
        <f aca="false">D16-E16</f>
        <v>0</v>
      </c>
      <c r="G16" s="50" t="n">
        <v>0</v>
      </c>
      <c r="H16" s="4" t="str">
        <f aca="false">IF(ABS(F16)&lt;=G16+0.000000001,"OK","FAIL")</f>
        <v>OK</v>
      </c>
    </row>
    <row r="17" customFormat="false" ht="15" hidden="false" customHeight="false" outlineLevel="0" collapsed="false">
      <c r="A17" s="1"/>
      <c r="B17" s="1" t="s">
        <v>648</v>
      </c>
      <c r="C17" s="1" t="s">
        <v>116</v>
      </c>
      <c r="D17" s="51" t="n">
        <f aca="false">'Exhibit 1'!$F$10</f>
        <v>3116323</v>
      </c>
      <c r="E17" s="52" t="n">
        <v>3116323</v>
      </c>
      <c r="F17" s="51" t="n">
        <f aca="false">D17-E17</f>
        <v>0</v>
      </c>
      <c r="G17" s="50" t="n">
        <v>0</v>
      </c>
      <c r="H17" s="4" t="str">
        <f aca="false">IF(ABS(F17)&lt;=G17+0.000000001,"OK","FAIL")</f>
        <v>OK</v>
      </c>
    </row>
    <row r="18" customFormat="false" ht="15" hidden="false" customHeight="false" outlineLevel="0" collapsed="false">
      <c r="A18" s="1"/>
      <c r="B18" s="1" t="s">
        <v>649</v>
      </c>
      <c r="C18" s="1" t="s">
        <v>116</v>
      </c>
      <c r="D18" s="51" t="n">
        <f aca="false">'Exhibit 1'!$G$10</f>
        <v>1547977</v>
      </c>
      <c r="E18" s="52" t="n">
        <v>1547977</v>
      </c>
      <c r="F18" s="51" t="n">
        <f aca="false">D18-E18</f>
        <v>0</v>
      </c>
      <c r="G18" s="50" t="n">
        <v>0</v>
      </c>
      <c r="H18" s="4" t="str">
        <f aca="false">IF(ABS(F18)&lt;=G18+0.000000001,"OK","FAIL")</f>
        <v>OK</v>
      </c>
    </row>
    <row r="19" customFormat="false" ht="15" hidden="false" customHeight="false" outlineLevel="0" collapsed="false">
      <c r="A19" s="1"/>
      <c r="B19" s="1" t="s">
        <v>650</v>
      </c>
      <c r="C19" s="1" t="s">
        <v>116</v>
      </c>
      <c r="D19" s="51" t="n">
        <f aca="false">'Exhibit 1'!$H$10</f>
        <v>1789676</v>
      </c>
      <c r="E19" s="52" t="n">
        <v>1789676</v>
      </c>
      <c r="F19" s="51" t="n">
        <f aca="false">D19-E19</f>
        <v>0</v>
      </c>
      <c r="G19" s="50" t="n">
        <v>0</v>
      </c>
      <c r="H19" s="4" t="str">
        <f aca="false">IF(ABS(F19)&lt;=G19+0.000000001,"OK","FAIL")</f>
        <v>OK</v>
      </c>
    </row>
    <row r="20" customFormat="false" ht="15" hidden="false" customHeight="false" outlineLevel="0" collapsed="false">
      <c r="A20" s="1"/>
      <c r="B20" s="1" t="s">
        <v>651</v>
      </c>
      <c r="C20" s="1" t="s">
        <v>123</v>
      </c>
      <c r="D20" s="48" t="n">
        <f aca="false">'Exhibit 1'!$E$15</f>
        <v>188</v>
      </c>
      <c r="E20" s="49" t="n">
        <v>187.9</v>
      </c>
      <c r="F20" s="48" t="n">
        <f aca="false">D20-E20</f>
        <v>0.0999999999999943</v>
      </c>
      <c r="G20" s="50" t="n">
        <v>0.15</v>
      </c>
      <c r="H20" s="4" t="str">
        <f aca="false">IF(ABS(F20)&lt;=G20+0.000000001,"OK","FAIL")</f>
        <v>OK</v>
      </c>
    </row>
    <row r="21" customFormat="false" ht="15" hidden="false" customHeight="false" outlineLevel="0" collapsed="false">
      <c r="A21" s="1"/>
      <c r="B21" s="1" t="s">
        <v>652</v>
      </c>
      <c r="C21" s="1" t="s">
        <v>123</v>
      </c>
      <c r="D21" s="48" t="n">
        <f aca="false">'Exhibit 1'!$F$15</f>
        <v>214</v>
      </c>
      <c r="E21" s="49" t="n">
        <v>214</v>
      </c>
      <c r="F21" s="48" t="n">
        <f aca="false">D21-E21</f>
        <v>0</v>
      </c>
      <c r="G21" s="50" t="n">
        <v>0.15</v>
      </c>
      <c r="H21" s="4" t="str">
        <f aca="false">IF(ABS(F21)&lt;=G21+0.000000001,"OK","FAIL")</f>
        <v>OK</v>
      </c>
    </row>
    <row r="22" customFormat="false" ht="15" hidden="false" customHeight="false" outlineLevel="0" collapsed="false">
      <c r="A22" s="1"/>
      <c r="B22" s="1" t="s">
        <v>653</v>
      </c>
      <c r="C22" s="1" t="s">
        <v>123</v>
      </c>
      <c r="D22" s="48" t="n">
        <f aca="false">'Exhibit 1'!$G$15</f>
        <v>105.9</v>
      </c>
      <c r="E22" s="49" t="n">
        <v>105.9</v>
      </c>
      <c r="F22" s="48" t="n">
        <f aca="false">D22-E22</f>
        <v>0</v>
      </c>
      <c r="G22" s="50" t="n">
        <v>0.15</v>
      </c>
      <c r="H22" s="4" t="str">
        <f aca="false">IF(ABS(F22)&lt;=G22+0.000000001,"OK","FAIL")</f>
        <v>OK</v>
      </c>
    </row>
    <row r="23" customFormat="false" ht="15" hidden="false" customHeight="false" outlineLevel="0" collapsed="false">
      <c r="A23" s="1"/>
      <c r="B23" s="1" t="s">
        <v>654</v>
      </c>
      <c r="C23" s="1" t="s">
        <v>123</v>
      </c>
      <c r="D23" s="48" t="n">
        <f aca="false">'Exhibit 1'!$H$15</f>
        <v>124</v>
      </c>
      <c r="E23" s="49" t="n">
        <v>124</v>
      </c>
      <c r="F23" s="48" t="n">
        <f aca="false">D23-E23</f>
        <v>0</v>
      </c>
      <c r="G23" s="50" t="n">
        <v>0.15</v>
      </c>
      <c r="H23" s="4" t="str">
        <f aca="false">IF(ABS(F23)&lt;=G23+0.000000001,"OK","FAIL")</f>
        <v>OK</v>
      </c>
    </row>
    <row r="24" customFormat="false" ht="15" hidden="false" customHeight="false" outlineLevel="0" collapsed="false">
      <c r="A24" s="1"/>
      <c r="B24" s="1" t="s">
        <v>655</v>
      </c>
      <c r="C24" s="1" t="s">
        <v>123</v>
      </c>
      <c r="D24" s="55" t="n">
        <f aca="false">'Exhibit 1'!$D$24</f>
        <v>87.662</v>
      </c>
      <c r="E24" s="56" t="n">
        <v>87.662</v>
      </c>
      <c r="F24" s="55" t="n">
        <f aca="false">D24-E24</f>
        <v>0</v>
      </c>
      <c r="G24" s="50" t="n">
        <v>0.002</v>
      </c>
      <c r="H24" s="4" t="str">
        <f aca="false">IF(ABS(F24)&lt;=G24+0.000000001,"OK","FAIL")</f>
        <v>OK</v>
      </c>
    </row>
    <row r="25" customFormat="false" ht="15" hidden="false" customHeight="false" outlineLevel="0" collapsed="false">
      <c r="A25" s="1"/>
      <c r="B25" s="1" t="s">
        <v>656</v>
      </c>
      <c r="C25" s="1" t="s">
        <v>123</v>
      </c>
      <c r="D25" s="55" t="n">
        <f aca="false">'Exhibit 1'!$E$24</f>
        <v>187.941</v>
      </c>
      <c r="E25" s="56" t="n">
        <v>187.941</v>
      </c>
      <c r="F25" s="55" t="n">
        <f aca="false">D25-E25</f>
        <v>0</v>
      </c>
      <c r="G25" s="50" t="n">
        <v>0.002</v>
      </c>
      <c r="H25" s="4" t="str">
        <f aca="false">IF(ABS(F25)&lt;=G25+0.000000001,"OK","FAIL")</f>
        <v>OK</v>
      </c>
    </row>
    <row r="26" customFormat="false" ht="15" hidden="false" customHeight="false" outlineLevel="0" collapsed="false">
      <c r="A26" s="1"/>
      <c r="B26" s="1" t="s">
        <v>657</v>
      </c>
      <c r="C26" s="1" t="s">
        <v>123</v>
      </c>
      <c r="D26" s="55" t="n">
        <f aca="false">'Exhibit 1'!$F$24</f>
        <v>214.043</v>
      </c>
      <c r="E26" s="56" t="n">
        <v>214.043</v>
      </c>
      <c r="F26" s="55" t="n">
        <f aca="false">D26-E26</f>
        <v>0</v>
      </c>
      <c r="G26" s="50" t="n">
        <v>0.002</v>
      </c>
      <c r="H26" s="4" t="str">
        <f aca="false">IF(ABS(F26)&lt;=G26+0.000000001,"OK","FAIL")</f>
        <v>OK</v>
      </c>
    </row>
    <row r="27" customFormat="false" ht="15" hidden="false" customHeight="false" outlineLevel="0" collapsed="false">
      <c r="A27" s="1"/>
      <c r="B27" s="1" t="s">
        <v>658</v>
      </c>
      <c r="C27" s="1" t="s">
        <v>123</v>
      </c>
      <c r="D27" s="55" t="n">
        <f aca="false">'Exhibit 1'!$D$36</f>
        <v>-156.782</v>
      </c>
      <c r="E27" s="56" t="n">
        <v>-156.782</v>
      </c>
      <c r="F27" s="55" t="n">
        <f aca="false">D27-E27</f>
        <v>0</v>
      </c>
      <c r="G27" s="50" t="n">
        <v>0.0055</v>
      </c>
      <c r="H27" s="4" t="str">
        <f aca="false">IF(ABS(F27)&lt;=G27+0.000000001,"OK","FAIL")</f>
        <v>OK</v>
      </c>
    </row>
    <row r="28" customFormat="false" ht="15" hidden="false" customHeight="false" outlineLevel="0" collapsed="false">
      <c r="A28" s="1"/>
      <c r="B28" s="1" t="s">
        <v>659</v>
      </c>
      <c r="C28" s="1" t="s">
        <v>123</v>
      </c>
      <c r="D28" s="55" t="n">
        <f aca="false">'Exhibit 1'!$E$36</f>
        <v>-153.479</v>
      </c>
      <c r="E28" s="56" t="n">
        <v>-153.479</v>
      </c>
      <c r="F28" s="55" t="n">
        <f aca="false">D28-E28</f>
        <v>0</v>
      </c>
      <c r="G28" s="50" t="n">
        <v>0.0055</v>
      </c>
      <c r="H28" s="4" t="str">
        <f aca="false">IF(ABS(F28)&lt;=G28+0.000000001,"OK","FAIL")</f>
        <v>OK</v>
      </c>
    </row>
    <row r="29" customFormat="false" ht="15" hidden="false" customHeight="false" outlineLevel="0" collapsed="false">
      <c r="A29" s="1"/>
      <c r="B29" s="1" t="s">
        <v>660</v>
      </c>
      <c r="C29" s="1" t="s">
        <v>123</v>
      </c>
      <c r="D29" s="55" t="n">
        <f aca="false">'Exhibit 1'!$F$36</f>
        <v>-127.039</v>
      </c>
      <c r="E29" s="56" t="n">
        <v>-127.039</v>
      </c>
      <c r="F29" s="55" t="n">
        <f aca="false">D29-E29</f>
        <v>0</v>
      </c>
      <c r="G29" s="50" t="n">
        <v>0.0055</v>
      </c>
      <c r="H29" s="4" t="str">
        <f aca="false">IF(ABS(F29)&lt;=G29+0.000000001,"OK","FAIL")</f>
        <v>OK</v>
      </c>
    </row>
    <row r="30" customFormat="false" ht="15" hidden="false" customHeight="false" outlineLevel="0" collapsed="false">
      <c r="A30" s="1"/>
      <c r="B30" s="1" t="s">
        <v>661</v>
      </c>
      <c r="C30" s="1" t="s">
        <v>123</v>
      </c>
      <c r="D30" s="55" t="n">
        <f aca="false">'Exhibit 1'!$D$40</f>
        <v>-306.68</v>
      </c>
      <c r="E30" s="56" t="n">
        <v>-306.68</v>
      </c>
      <c r="F30" s="55" t="n">
        <f aca="false">D30-E30</f>
        <v>0</v>
      </c>
      <c r="G30" s="50" t="n">
        <v>0.007</v>
      </c>
      <c r="H30" s="4" t="str">
        <f aca="false">IF(ABS(F30)&lt;=G30+0.000000001,"OK","FAIL")</f>
        <v>OK</v>
      </c>
    </row>
    <row r="31" customFormat="false" ht="15" hidden="false" customHeight="false" outlineLevel="0" collapsed="false">
      <c r="A31" s="1"/>
      <c r="B31" s="1" t="s">
        <v>662</v>
      </c>
      <c r="C31" s="1" t="s">
        <v>123</v>
      </c>
      <c r="D31" s="55" t="n">
        <f aca="false">'Exhibit 1'!$E$40</f>
        <v>-548.716</v>
      </c>
      <c r="E31" s="56" t="n">
        <v>-548.716</v>
      </c>
      <c r="F31" s="55" t="n">
        <f aca="false">D31-E31</f>
        <v>0</v>
      </c>
      <c r="G31" s="50" t="n">
        <v>0.007</v>
      </c>
      <c r="H31" s="4" t="str">
        <f aca="false">IF(ABS(F31)&lt;=G31+0.000000001,"OK","FAIL")</f>
        <v>OK</v>
      </c>
    </row>
    <row r="32" customFormat="false" ht="15" hidden="false" customHeight="false" outlineLevel="0" collapsed="false">
      <c r="A32" s="1"/>
      <c r="B32" s="1" t="s">
        <v>663</v>
      </c>
      <c r="C32" s="1" t="s">
        <v>123</v>
      </c>
      <c r="D32" s="55" t="n">
        <f aca="false">'Exhibit 1'!$F$40</f>
        <v>-233.104</v>
      </c>
      <c r="E32" s="56" t="n">
        <v>-233.104</v>
      </c>
      <c r="F32" s="55" t="n">
        <f aca="false">D32-E32</f>
        <v>0</v>
      </c>
      <c r="G32" s="50" t="n">
        <v>0.007</v>
      </c>
      <c r="H32" s="4" t="str">
        <f aca="false">IF(ABS(F32)&lt;=G32+0.000000001,"OK","FAIL")</f>
        <v>OK</v>
      </c>
    </row>
    <row r="33" customFormat="false" ht="15" hidden="false" customHeight="false" outlineLevel="0" collapsed="false">
      <c r="A33" s="1"/>
      <c r="B33" s="1" t="s">
        <v>664</v>
      </c>
      <c r="C33" s="1" t="s">
        <v>123</v>
      </c>
      <c r="D33" s="55" t="n">
        <f aca="false">'Exhibit 1'!$F$41+'Exhibit 1'!$F$42+'Exhibit 1'!$F$43</f>
        <v>-150.22</v>
      </c>
      <c r="E33" s="56" t="n">
        <v>-150.22</v>
      </c>
      <c r="F33" s="55" t="n">
        <f aca="false">D33-E33</f>
        <v>0</v>
      </c>
      <c r="G33" s="50" t="n">
        <v>0.0015</v>
      </c>
      <c r="H33" s="4" t="str">
        <f aca="false">IF(ABS(F33)&lt;=G33+0.000000001,"OK","FAIL")</f>
        <v>OK</v>
      </c>
    </row>
    <row r="34" customFormat="false" ht="15" hidden="false" customHeight="false" outlineLevel="0" collapsed="false">
      <c r="A34" s="1"/>
      <c r="B34" s="1" t="s">
        <v>665</v>
      </c>
      <c r="C34" s="1" t="s">
        <v>123</v>
      </c>
      <c r="D34" s="55" t="n">
        <f aca="false">'Exhibit 1'!$E$45+'Exhibit 1'!$F$41+'Exhibit 1'!$F$42+'Exhibit 1'!$F$43</f>
        <v>138.298</v>
      </c>
      <c r="E34" s="56" t="n">
        <v>138.298</v>
      </c>
      <c r="F34" s="55" t="n">
        <f aca="false">D34-E34</f>
        <v>0</v>
      </c>
      <c r="G34" s="50" t="n">
        <v>0.002</v>
      </c>
      <c r="H34" s="4" t="str">
        <f aca="false">IF(ABS(F34)&lt;=G34+0.000000001,"OK","FAIL")</f>
        <v>OK</v>
      </c>
    </row>
    <row r="35" customFormat="false" ht="15" hidden="false" customHeight="false" outlineLevel="0" collapsed="false">
      <c r="A35" s="1"/>
      <c r="B35" s="1" t="s">
        <v>666</v>
      </c>
      <c r="C35" s="1" t="s">
        <v>123</v>
      </c>
      <c r="D35" s="48" t="n">
        <f aca="false">'Exhibit 1'!$F$11+'Exhibit 1'!$F$12</f>
        <v>173.2</v>
      </c>
      <c r="E35" s="49" t="n">
        <v>173.232</v>
      </c>
      <c r="F35" s="48" t="n">
        <f aca="false">D35-E35</f>
        <v>-0.0320000000000107</v>
      </c>
      <c r="G35" s="50" t="n">
        <v>0.1</v>
      </c>
      <c r="H35" s="4" t="str">
        <f aca="false">IF(ABS(F35)&lt;=G35+0.000000001,"OK","FAIL")</f>
        <v>OK</v>
      </c>
    </row>
    <row r="36" customFormat="false" ht="15" hidden="false" customHeight="false" outlineLevel="0" collapsed="false">
      <c r="A36" s="1"/>
      <c r="B36" s="1" t="s">
        <v>667</v>
      </c>
      <c r="C36" s="1" t="s">
        <v>133</v>
      </c>
      <c r="D36" s="48" t="n">
        <f aca="false">'Exhibit 1'!$F$17</f>
        <v>55.5783209891914</v>
      </c>
      <c r="E36" s="49" t="n">
        <v>55.59</v>
      </c>
      <c r="F36" s="48" t="n">
        <f aca="false">D36-E36</f>
        <v>-0.011679010808578</v>
      </c>
      <c r="G36" s="50" t="n">
        <v>0.05</v>
      </c>
      <c r="H36" s="4" t="str">
        <f aca="false">IF(ABS(F36)&lt;=G36+0.000000001,"OK","FAIL")</f>
        <v>OK</v>
      </c>
    </row>
    <row r="37" customFormat="false" ht="15" hidden="false" customHeight="false" outlineLevel="0" collapsed="false">
      <c r="A37" s="1"/>
      <c r="B37" s="1" t="s">
        <v>668</v>
      </c>
      <c r="C37" s="1" t="s">
        <v>123</v>
      </c>
      <c r="D37" s="55" t="n">
        <f aca="false">'Exhibit 5'!$D$18</f>
        <v>2219.28</v>
      </c>
      <c r="E37" s="56" t="n">
        <v>2219.28</v>
      </c>
      <c r="F37" s="55" t="n">
        <f aca="false">D37-E37</f>
        <v>0</v>
      </c>
      <c r="G37" s="50" t="n">
        <v>0.0055</v>
      </c>
      <c r="H37" s="4" t="str">
        <f aca="false">IF(ABS(F37)&lt;=G37+0.000000001,"OK","FAIL")</f>
        <v>OK</v>
      </c>
    </row>
    <row r="38" customFormat="false" ht="15" hidden="false" customHeight="false" outlineLevel="0" collapsed="false">
      <c r="A38" s="1"/>
      <c r="B38" s="1" t="s">
        <v>669</v>
      </c>
      <c r="C38" s="1" t="s">
        <v>123</v>
      </c>
      <c r="D38" s="55" t="n">
        <f aca="false">'Exhibit 5'!$D$19</f>
        <v>1133.44</v>
      </c>
      <c r="E38" s="56" t="n">
        <v>1133.44</v>
      </c>
      <c r="F38" s="55" t="n">
        <f aca="false">D38-E38</f>
        <v>0</v>
      </c>
      <c r="G38" s="50" t="n">
        <v>0.005</v>
      </c>
      <c r="H38" s="4" t="str">
        <f aca="false">IF(ABS(F38)&lt;=G38+0.000000001,"OK","FAIL")</f>
        <v>OK</v>
      </c>
    </row>
    <row r="39" customFormat="false" ht="15" hidden="false" customHeight="false" outlineLevel="0" collapsed="false">
      <c r="A39" s="1"/>
      <c r="B39" s="1" t="s">
        <v>670</v>
      </c>
      <c r="C39" s="1" t="s">
        <v>123</v>
      </c>
      <c r="D39" s="55" t="n">
        <f aca="false">'Exhibit 5'!$D$18+'Exhibit 5'!$D$25</f>
        <v>2264.28</v>
      </c>
      <c r="E39" s="56" t="n">
        <v>2264.28</v>
      </c>
      <c r="F39" s="55" t="n">
        <f aca="false">D39-E39</f>
        <v>0</v>
      </c>
      <c r="G39" s="50" t="n">
        <v>0.0055</v>
      </c>
      <c r="H39" s="4" t="str">
        <f aca="false">IF(ABS(F39)&lt;=G39+0.000000001,"OK","FAIL")</f>
        <v>OK</v>
      </c>
    </row>
    <row r="40" customFormat="false" ht="15" hidden="false" customHeight="false" outlineLevel="0" collapsed="false">
      <c r="A40" s="1"/>
      <c r="B40" s="1" t="s">
        <v>671</v>
      </c>
      <c r="C40" s="1" t="s">
        <v>116</v>
      </c>
      <c r="D40" s="51" t="n">
        <f aca="false">'Exhibit 3'!$D$14</f>
        <v>2283725</v>
      </c>
      <c r="E40" s="51" t="n">
        <f aca="false">'Exhibit 3'!$D$15-'Exhibit 3'!$D$16</f>
        <v>2283725</v>
      </c>
      <c r="F40" s="51" t="n">
        <f aca="false">D40-E40</f>
        <v>0</v>
      </c>
      <c r="G40" s="50" t="n">
        <v>0</v>
      </c>
      <c r="H40" s="4" t="str">
        <f aca="false">IF(ABS(F40)&lt;=G40+0.000000001,"OK","FAIL")</f>
        <v>OK</v>
      </c>
    </row>
    <row r="41" customFormat="false" ht="15" hidden="false" customHeight="false" outlineLevel="0" collapsed="false">
      <c r="A41" s="1"/>
      <c r="B41" s="1" t="s">
        <v>672</v>
      </c>
      <c r="C41" s="1" t="s">
        <v>123</v>
      </c>
      <c r="D41" s="48" t="n">
        <f aca="false">'Exhibit 3'!$E$14</f>
        <v>155.9</v>
      </c>
      <c r="E41" s="48" t="n">
        <f aca="false">'Exhibit 3'!$E$15-'Exhibit 3'!$E$16</f>
        <v>155.9</v>
      </c>
      <c r="F41" s="48" t="n">
        <f aca="false">D41-E41</f>
        <v>0</v>
      </c>
      <c r="G41" s="50" t="n">
        <v>0.1</v>
      </c>
      <c r="H41" s="4" t="str">
        <f aca="false">IF(ABS(F41)&lt;=G41+0.000000001,"OK","FAIL")</f>
        <v>OK</v>
      </c>
    </row>
    <row r="42" customFormat="false" ht="15" hidden="false" customHeight="false" outlineLevel="0" collapsed="false">
      <c r="A42" s="1"/>
      <c r="B42" s="1" t="s">
        <v>673</v>
      </c>
      <c r="C42" s="1" t="s">
        <v>116</v>
      </c>
      <c r="D42" s="51" t="n">
        <f aca="false">'Exhibit 10'!$D$9+'Exhibit 10'!$E$9+'Exhibit 10'!$F$9</f>
        <v>900434</v>
      </c>
      <c r="E42" s="51" t="n">
        <f aca="false">'Exhibit 2'!$L$8</f>
        <v>900434</v>
      </c>
      <c r="F42" s="51" t="n">
        <f aca="false">D42-E42</f>
        <v>0</v>
      </c>
      <c r="G42" s="50" t="n">
        <v>0</v>
      </c>
      <c r="H42" s="4" t="str">
        <f aca="false">IF(ABS(F42)&lt;=G42+0.000000001,"OK","FAIL")</f>
        <v>OK</v>
      </c>
    </row>
    <row r="43" customFormat="false" ht="15" hidden="false" customHeight="false" outlineLevel="0" collapsed="false">
      <c r="A43" s="1"/>
      <c r="B43" s="1" t="s">
        <v>674</v>
      </c>
      <c r="C43" s="1" t="s">
        <v>116</v>
      </c>
      <c r="D43" s="51" t="n">
        <f aca="false">'Exhibit 10'!$G$9+'Exhibit 10'!$H$9+'Exhibit 10'!$I$9</f>
        <v>889242</v>
      </c>
      <c r="E43" s="51" t="n">
        <f aca="false">'Exhibit 2'!$M$8</f>
        <v>889242</v>
      </c>
      <c r="F43" s="51" t="n">
        <f aca="false">D43-E43</f>
        <v>0</v>
      </c>
      <c r="G43" s="50" t="n">
        <v>0</v>
      </c>
      <c r="H43" s="4" t="str">
        <f aca="false">IF(ABS(F43)&lt;=G43+0.000000001,"OK","FAIL")</f>
        <v>OK</v>
      </c>
    </row>
    <row r="44" customFormat="false" ht="15" hidden="false" customHeight="false" outlineLevel="0" collapsed="false">
      <c r="A44" s="1"/>
      <c r="B44" s="1" t="s">
        <v>675</v>
      </c>
      <c r="C44" s="1" t="s">
        <v>116</v>
      </c>
      <c r="D44" s="51" t="n">
        <f aca="false">'Exhibit 10'!$G$8+'Exhibit 10'!$H$8+'Exhibit 10'!$I$8</f>
        <v>754545</v>
      </c>
      <c r="E44" s="51" t="n">
        <f aca="false">'Exhibit 2'!$I$8</f>
        <v>754545</v>
      </c>
      <c r="F44" s="51" t="n">
        <f aca="false">D44-E44</f>
        <v>0</v>
      </c>
      <c r="G44" s="50" t="n">
        <v>0</v>
      </c>
      <c r="H44" s="4" t="str">
        <f aca="false">IF(ABS(F44)&lt;=G44+0.000000001,"OK","FAIL")</f>
        <v>OK</v>
      </c>
    </row>
    <row r="45" customFormat="false" ht="15" hidden="false" customHeight="false" outlineLevel="0" collapsed="false">
      <c r="A45" s="1"/>
      <c r="B45" s="1" t="s">
        <v>676</v>
      </c>
      <c r="C45" s="1" t="s">
        <v>123</v>
      </c>
      <c r="D45" s="48" t="n">
        <f aca="false">'Exhibit 10'!$G$12+'Exhibit 10'!$H$12+'Exhibit 10'!$I$12</f>
        <v>62.8</v>
      </c>
      <c r="E45" s="48" t="n">
        <f aca="false">'Exhibit 2'!$M$9</f>
        <v>62.8</v>
      </c>
      <c r="F45" s="48" t="n">
        <f aca="false">D45-E45</f>
        <v>0</v>
      </c>
      <c r="G45" s="50" t="n">
        <v>0.2</v>
      </c>
      <c r="H45" s="4" t="str">
        <f aca="false">IF(ABS(F45)&lt;=G45+0.000000001,"OK","FAIL")</f>
        <v>OK</v>
      </c>
    </row>
    <row r="46" customFormat="false" ht="15" hidden="false" customHeight="false" outlineLevel="0" collapsed="false">
      <c r="A46" s="1"/>
      <c r="B46" s="1" t="s">
        <v>677</v>
      </c>
      <c r="C46" s="1" t="s">
        <v>249</v>
      </c>
      <c r="D46" s="51" t="n">
        <f aca="false">SUMPRODUCT((ABS('Exhibit 4'!$D$13:$AH$13-'Exhibit 4'!$D$11:$AH$11-'Exhibit 4'!$D$12:$AH$12)&gt;1.5)*1)</f>
        <v>0</v>
      </c>
      <c r="E46" s="52" t="n">
        <v>0</v>
      </c>
      <c r="F46" s="51" t="n">
        <f aca="false">D46-E46</f>
        <v>0</v>
      </c>
      <c r="G46" s="50" t="n">
        <v>0</v>
      </c>
      <c r="H46" s="4" t="str">
        <f aca="false">IF(ABS(F46)&lt;=G46+0.000000001,"OK","FAIL")</f>
        <v>OK</v>
      </c>
    </row>
    <row r="47" customFormat="false" ht="15" hidden="false" customHeight="false" outlineLevel="0" collapsed="false">
      <c r="A47" s="1"/>
      <c r="B47" s="1" t="s">
        <v>678</v>
      </c>
      <c r="C47" s="1" t="s">
        <v>249</v>
      </c>
      <c r="D47" s="51" t="n">
        <f aca="false">SUMPRODUCT((ABS('Exhibit 4'!$D$17:$AH$17-'Exhibit 4'!$D$13:$AH$13+'Exhibit 4'!$D$16:$AH$16)&gt;1.5)*1)</f>
        <v>0</v>
      </c>
      <c r="E47" s="52" t="n">
        <v>0</v>
      </c>
      <c r="F47" s="51" t="n">
        <f aca="false">D47-E47</f>
        <v>0</v>
      </c>
      <c r="G47" s="50" t="n">
        <v>0</v>
      </c>
      <c r="H47" s="4" t="str">
        <f aca="false">IF(ABS(F47)&lt;=G47+0.000000001,"OK","FAIL")</f>
        <v>OK</v>
      </c>
    </row>
    <row r="48" customFormat="false" ht="15" hidden="false" customHeight="false" outlineLevel="0" collapsed="false">
      <c r="A48" s="1"/>
      <c r="B48" s="1" t="s">
        <v>679</v>
      </c>
      <c r="C48" s="1" t="s">
        <v>249</v>
      </c>
      <c r="D48" s="51" t="n">
        <f aca="false">SUMPRODUCT((ABS('Exhibit 4'!$D$21:$AH$21-'Exhibit 4'!$D$19:$AH$19-'Exhibit 4'!$D$20:$AH$20)&gt;1.5)*1)</f>
        <v>0</v>
      </c>
      <c r="E48" s="52" t="n">
        <v>0</v>
      </c>
      <c r="F48" s="51" t="n">
        <f aca="false">D48-E48</f>
        <v>0</v>
      </c>
      <c r="G48" s="50" t="n">
        <v>0</v>
      </c>
      <c r="H48" s="4" t="str">
        <f aca="false">IF(ABS(F48)&lt;=G48+0.000000001,"OK","FAIL")</f>
        <v>OK</v>
      </c>
    </row>
    <row r="49" customFormat="false" ht="15" hidden="false" customHeight="false" outlineLevel="0" collapsed="false">
      <c r="A49" s="1"/>
      <c r="B49" s="1" t="s">
        <v>680</v>
      </c>
      <c r="C49" s="1" t="s">
        <v>249</v>
      </c>
      <c r="D49" s="51" t="n">
        <f aca="false">SUMPRODUCT((ABS('Exhibit 4'!$F$25:$AG$25-'Exhibit 4'!$F$24:$AG$24)&gt;0.1)*1)</f>
        <v>0</v>
      </c>
      <c r="E49" s="52" t="n">
        <v>0</v>
      </c>
      <c r="F49" s="51" t="n">
        <f aca="false">D49-E49</f>
        <v>0</v>
      </c>
      <c r="G49" s="50" t="n">
        <v>0</v>
      </c>
      <c r="H49" s="4" t="str">
        <f aca="false">IF(ABS(F49)&lt;=G49+0.000000001,"OK","FAIL")</f>
        <v>OK</v>
      </c>
    </row>
    <row r="50" customFormat="false" ht="15" hidden="false" customHeight="false" outlineLevel="0" collapsed="false">
      <c r="A50" s="1"/>
      <c r="B50" s="1" t="s">
        <v>681</v>
      </c>
      <c r="C50" s="1" t="s">
        <v>289</v>
      </c>
      <c r="D50" s="57" t="n">
        <f aca="false">'Exhibit 4'!$F$10</f>
        <v>8</v>
      </c>
      <c r="E50" s="58" t="n">
        <v>8</v>
      </c>
      <c r="F50" s="57" t="n">
        <f aca="false">D50-E50</f>
        <v>0</v>
      </c>
      <c r="G50" s="50" t="n">
        <v>0.05</v>
      </c>
      <c r="H50" s="4" t="str">
        <f aca="false">IF(ABS(F50)&lt;=G50+0.000000001,"OK","FAIL")</f>
        <v>OK</v>
      </c>
    </row>
    <row r="51" customFormat="false" ht="15" hidden="false" customHeight="false" outlineLevel="0" collapsed="false">
      <c r="A51" s="1"/>
      <c r="B51" s="1" t="s">
        <v>682</v>
      </c>
      <c r="C51" s="1" t="s">
        <v>123</v>
      </c>
      <c r="D51" s="51" t="n">
        <f aca="false">'Exhibit 4'!$F$11</f>
        <v>695</v>
      </c>
      <c r="E51" s="52" t="n">
        <v>695</v>
      </c>
      <c r="F51" s="51" t="n">
        <f aca="false">D51-E51</f>
        <v>0</v>
      </c>
      <c r="G51" s="50" t="n">
        <v>0.5</v>
      </c>
      <c r="H51" s="4" t="str">
        <f aca="false">IF(ABS(F51)&lt;=G51+0.000000001,"OK","FAIL")</f>
        <v>OK</v>
      </c>
    </row>
    <row r="52" customFormat="false" ht="15" hidden="false" customHeight="false" outlineLevel="0" collapsed="false">
      <c r="A52" s="1"/>
      <c r="B52" s="1" t="s">
        <v>683</v>
      </c>
      <c r="C52" s="1" t="s">
        <v>123</v>
      </c>
      <c r="D52" s="57" t="n">
        <f aca="false">'Exhibit 4'!$F$28</f>
        <v>680</v>
      </c>
      <c r="E52" s="58" t="n">
        <v>679.8</v>
      </c>
      <c r="F52" s="57" t="n">
        <f aca="false">D52-E52</f>
        <v>0.200000000000045</v>
      </c>
      <c r="G52" s="50" t="n">
        <v>0.55</v>
      </c>
      <c r="H52" s="4" t="str">
        <f aca="false">IF(ABS(F52)&lt;=G52+0.000000001,"OK","FAIL")</f>
        <v>OK</v>
      </c>
    </row>
    <row r="53" customFormat="false" ht="15" hidden="false" customHeight="false" outlineLevel="0" collapsed="false">
      <c r="A53" s="1"/>
      <c r="B53" s="1"/>
      <c r="C53" s="1"/>
      <c r="D53" s="1"/>
      <c r="E53" s="1"/>
      <c r="F53" s="1"/>
      <c r="G53" s="1"/>
      <c r="H53" s="1"/>
    </row>
    <row r="54" customFormat="false" ht="15" hidden="false" customHeight="false" outlineLevel="0" collapsed="false">
      <c r="A54" s="1"/>
      <c r="B54" s="4" t="s">
        <v>14</v>
      </c>
      <c r="C54" s="1"/>
      <c r="D54" s="6" t="str">
        <f aca="false">IF(COUNTIF(H5:H52,"FAIL")=0,"ALL CHECKS OK","CHECK FAILURES")</f>
        <v>ALL CHECKS OK</v>
      </c>
      <c r="E54" s="1"/>
      <c r="F54" s="1"/>
      <c r="G54" s="1"/>
      <c r="H54" s="1"/>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Brightline Florida: new money · Advanced · Practice use only&amp;R&amp;8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2026-10-12T04:24:22Z</dcterms:created>
  <dc:creator>openpyxl</dc:creator>
  <dc:description/>
  <dc:language>en-US</dc:language>
  <cp:lastModifiedBy/>
  <dcterms:modified xsi:type="dcterms:W3CDTF">2026-10-12T04:24:22Z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