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Inputs" sheetId="2" state="visible" r:id="rId4"/>
    <sheet name="Operating build" sheetId="3" state="visible" r:id="rId5"/>
    <sheet name="IS" sheetId="4" state="visible" r:id="rId6"/>
    <sheet name="BS" sheetId="5" state="visible" r:id="rId7"/>
    <sheet name="CF" sheetId="6" state="visible" r:id="rId8"/>
    <sheet name="Debt" sheetId="7" state="visible" r:id="rId9"/>
    <sheet name="DCF" sheetId="8" state="visible" r:id="rId10"/>
    <sheet name="Comps" sheetId="9" state="visible" r:id="rId11"/>
    <sheet name="Sensitivity" sheetId="10" state="visible" r:id="rId12"/>
    <sheet name="Football field" sheetId="11" state="visible" r:id="rId13"/>
    <sheet name="Quarterly" sheetId="12" state="visible" r:id="rId14"/>
    <sheet name="Checks" sheetId="13" state="visible" r:id="rId15"/>
    <sheet name="Practice" sheetId="14" state="visible" r:id="rId16"/>
  </sheets>
  <definedNames>
    <definedName function="false" hidden="false" localSheetId="4" name="_xlnm.Print_Area" vbProcedure="false">BS!$A$1:$P$58</definedName>
    <definedName function="false" hidden="false" localSheetId="5" name="_xlnm.Print_Area" vbProcedure="false">CF!$A$1:$P$60</definedName>
    <definedName function="false" hidden="false" localSheetId="12" name="_xlnm.Print_Area" vbProcedure="false">Checks!$A$1:$F$46</definedName>
    <definedName function="false" hidden="false" localSheetId="8" name="_xlnm.Print_Area" vbProcedure="false">Comps!$A$1:$X$48</definedName>
    <definedName function="false" hidden="false" localSheetId="0" name="_xlnm.Print_Area" vbProcedure="false">Cover!$A$1:$C$39</definedName>
    <definedName function="false" hidden="false" localSheetId="7" name="_xlnm.Print_Area" vbProcedure="false">DCF!$A$1:$P$85</definedName>
    <definedName function="false" hidden="false" localSheetId="6" name="_xlnm.Print_Area" vbProcedure="false">Debt!$A$1:$P$24</definedName>
    <definedName function="false" hidden="false" localSheetId="10" name="_xlnm.Print_Area" vbProcedure="false">'Football field'!$A$1:$G$14</definedName>
    <definedName function="false" hidden="false" localSheetId="1" name="_xlnm.Print_Area" vbProcedure="false">Inputs!$A$1:$P$74</definedName>
    <definedName function="false" hidden="false" localSheetId="3" name="_xlnm.Print_Area" vbProcedure="false">IS!$A$1:$P$58</definedName>
    <definedName function="false" hidden="false" localSheetId="2" name="_xlnm.Print_Area" vbProcedure="false">'Operating build'!$A$1:$P$38</definedName>
    <definedName function="false" hidden="false" localSheetId="13" name="_xlnm.Print_Area" vbProcedure="false">Practice!$A$1:$F$14</definedName>
    <definedName function="false" hidden="false" localSheetId="11" name="_xlnm.Print_Area" vbProcedure="false">Quarterly!$A$1:$P$17</definedName>
    <definedName function="false" hidden="false" localSheetId="9" name="_xlnm.Print_Area" vbProcedure="false">Sensitivity!$A$1:$J$32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<sst xmlns="http://schemas.openxmlformats.org/spreadsheetml/2006/main" count="1265" uniqueCount="732">
  <si>
    <t xml:space="preserve">Texas Roadhouse (NasdaqGS: TXRH)</t>
  </si>
  <si>
    <t xml:space="preserve">Student model template — build the yellow cells</t>
  </si>
  <si>
    <t xml:space="preserve">Case</t>
  </si>
  <si>
    <t xml:space="preserve">IC Simulator investment banking case: Texas Roadhouse — initiation of coverage (writing + modeling)</t>
  </si>
  <si>
    <t xml:space="preserve">Case date</t>
  </si>
  <si>
    <t xml:space="preserve">09 October 2026 (market data as of close 09 Oct 2026)</t>
  </si>
  <si>
    <t xml:space="preserve">Version</t>
  </si>
  <si>
    <t xml:space="preserve">v1.0 · 12 Oct 2026</t>
  </si>
  <si>
    <t xml:space="preserve">Level</t>
  </si>
  <si>
    <t xml:space="preserve">Advanced (take-home, 1–2 days) · uncalibrated</t>
  </si>
  <si>
    <t xml:space="preserve">Use</t>
  </si>
  <si>
    <t xml:space="preserve">Practice use only. Built from public SEC filings; not investment advice.</t>
  </si>
  <si>
    <t xml:space="preserve">Units</t>
  </si>
  <si>
    <t xml:space="preserve">$ in millions unless stated; shares in millions; per-share in $; fiscal years end last Tuesday of December (FY24 and FY30E = 53 weeks).</t>
  </si>
  <si>
    <t xml:space="preserve">Master check</t>
  </si>
  <si>
    <t xml:space="preserve">Tab map</t>
  </si>
  <si>
    <t xml:space="preserve">Cover</t>
  </si>
  <si>
    <t xml:space="preserve">This page: case identity, master check, tab map and conventions.</t>
  </si>
  <si>
    <t xml:space="preserve">Inputs</t>
  </si>
  <si>
    <t xml:space="preserve">Every forecast driver (blue) with history alongside and a dated source or "Judgment" rationale; market and valuation inputs (single values, column D).</t>
  </si>
  <si>
    <t xml:space="preserve">Operating build</t>
  </si>
  <si>
    <t xml:space="preserve">Company restaurant roll-forward → store weeks → sales per store week → restaurant sales; royalties; capex build by category.</t>
  </si>
  <si>
    <t xml:space="preserve">IS</t>
  </si>
  <si>
    <t xml:space="preserve">Income statement FY22A–FY25A, 6M25A, 6M26A, LTM Jun-26 (formula) and FY26E–FY30E; restaurant margin and EBITDA; reconciliation to filed totals.</t>
  </si>
  <si>
    <t xml:space="preserve">BS</t>
  </si>
  <si>
    <t xml:space="preserve">Balance sheet with roll-forwards (PP&amp;E, leases, goodwill, equity, NCI) and balance check; reconciliation to filed totals.</t>
  </si>
  <si>
    <t xml:space="preserve">CF</t>
  </si>
  <si>
    <t xml:space="preserve">Cash flow statement as filed (outflows negative); forecast derived from balance-sheet movements; reconciliation to filed totals.</t>
  </si>
  <si>
    <t xml:space="preserve">Debt</t>
  </si>
  <si>
    <t xml:space="preserve">Revolver (min-cash draw / sweep, interest on opening balance), interest income, credit statistics.</t>
  </si>
  <si>
    <t xml:space="preserve">DCF</t>
  </si>
  <si>
    <t xml:space="preserve">UFCF, WACC (CAPM, peer beta relevered), mid-period discounting from the 30 Jun 2026 balance sheet, Gordon and exit-multiple terminal values, EV-to-equity bridge, roll-forward to 9 Oct 2026.</t>
  </si>
  <si>
    <t xml:space="preserve">Comps</t>
  </si>
  <si>
    <t xml:space="preserve">Four casual-dining peers: price, shares, EV, LTM build from XBRL (FY + YTD − prior YTD), multiples, betas.</t>
  </si>
  <si>
    <t xml:space="preserve">Sensitivity</t>
  </si>
  <si>
    <t xml:space="preserve">Three live-formula 2-D grids: WACC × g, WACC × exit multiple, revenue growth Δ × EBITDA margin Δ.</t>
  </si>
  <si>
    <t xml:space="preserve">Football field</t>
  </si>
  <si>
    <t xml:space="preserve">Valuation range summary and chart (52-week range, comps, DCF).</t>
  </si>
  <si>
    <t xml:space="preserve">Quarterly</t>
  </si>
  <si>
    <t xml:space="preserve">Ten quarters (1Q24–2Q26), Q4 derived = FY − 9M, margins; identifies the worst recent quarter for the downside.</t>
  </si>
  <si>
    <t xml:space="preserve">Checks</t>
  </si>
  <si>
    <t xml:space="preserve">Every tie and internal check with status; master check feeds the Cover.</t>
  </si>
  <si>
    <t xml:space="preserve">Practice</t>
  </si>
  <si>
    <t xml:space="preserve">Ten warm-up drills on the filed history and valuation mechanics with instant Correct / Not yet feedback (no valuation outputs).</t>
  </si>
  <si>
    <t xml:space="preserve">Read me: conventions</t>
  </si>
  <si>
    <t xml:space="preserve">Colour code</t>
  </si>
  <si>
    <t xml:space="preserve">Blue font = hard-coded input or filed figure; black = formula; green = direct link to another tab; yellow fill = key output (answer model) or a cell you must build (student template); shaded cell in sensitivity grids = base case.</t>
  </si>
  <si>
    <t xml:space="preserve">Sign convention</t>
  </si>
  <si>
    <t xml:space="preserve">Income-statement costs are stored positive and subtracted. Cash-flow statement as filed: inflows positive, outflows negative. Any sign flip is done in a formula and labelled (−).</t>
  </si>
  <si>
    <t xml:space="preserve">Periods</t>
  </si>
  <si>
    <t xml:space="preserve">FY = fiscal year (A = actual from 10-K, E = estimate). 6M = 26 weeks to the date shown (10-Q). LTM Jun-26 = FY25A + 6M26A − 6M25A, always a formula. Row 5 = period-end date; row 6 = weeks in period. TXRH fiscal years end on the last Tuesday of December: FY24A and FY30E have 53 weeks.</t>
  </si>
  <si>
    <t xml:space="preserve">$ in millions (filed $ thousands ÷ 1,000, unrounded so ties are exact), shares in millions, per-share in $. Ratios stored as numbers and formatted.</t>
  </si>
  <si>
    <t xml:space="preserve">Not available</t>
  </si>
  <si>
    <t xml:space="preserve">Blank cell + note in the Source column: n/a = not applicable; n.d. = not disclosed. No text in numeric cells.</t>
  </si>
  <si>
    <t xml:space="preserve">Internal builds must equal exactly 0.00. Ties to SEC filings pass if |Δ| ≤ 0.5 × unit ($0.5M). See Checks tab.</t>
  </si>
  <si>
    <t xml:space="preserve">Definitions</t>
  </si>
  <si>
    <t xml:space="preserve">EBITDA = income from operations + D&amp;A (unadjusted, after rent). Restaurant margin = restaurant &amp; other sales − food &amp; beverage − labor − rent − other operating (company non-GAAP). UFCF = EBIT × (1 − t) + D&amp;A − capex − acquisitions ± working capital and other operating items. Net debt excludes operating leases (EBITDA is after rent).</t>
  </si>
  <si>
    <t xml:space="preserve">Circularity</t>
  </si>
  <si>
    <t xml:space="preserve">None. Revolver interest is charged on the opening balance and interest income on opening cash.</t>
  </si>
  <si>
    <t xml:space="preserve">Sources</t>
  </si>
  <si>
    <t xml:space="preserve">10-K FY2025 (filed 27 Feb 2026, acc. 0001104659-26-021292); 10-K FY2024 (28 Feb 2025, 0001558370-25-001904); 10-K FY2023 (23 Feb 2024, 0001558370-24-001595); 10-K FY2022 (24 Feb 2023); 10-Q 2Q26 (7 Aug 2026, 0001104659-26-092408); 8-K earnings releases 18 Feb 2026 and 6 Aug 2026; market data per Inputs. Full list with URLs in TXRH-sources.md.</t>
  </si>
  <si>
    <t xml:space="preserve">Student instructions</t>
  </si>
  <si>
    <t xml:space="preserve">Build every yellow cell. Do not overwrite blue historical data. Set your own drivers on Inputs (columns K–O) with a rationale in column P. When the Checks tab shows ALL CHECKS OK and the DCF tab produces a value, write your memo. Compare against the answer model only after submitting.</t>
  </si>
  <si>
    <t xml:space="preserve">Texas Roadhouse (TXRH) — Forecast assumptions and market inputs</t>
  </si>
  <si>
    <t xml:space="preserve">(Blue = input; black = formula; historical columns show the same ratio computed from filings so every assumption can be judged against history)</t>
  </si>
  <si>
    <t xml:space="preserve">Period</t>
  </si>
  <si>
    <t xml:space="preserve">FY22A</t>
  </si>
  <si>
    <t xml:space="preserve">FY23A</t>
  </si>
  <si>
    <t xml:space="preserve">FY24A</t>
  </si>
  <si>
    <t xml:space="preserve">FY25A</t>
  </si>
  <si>
    <t xml:space="preserve">6M25A</t>
  </si>
  <si>
    <t xml:space="preserve">6M26A</t>
  </si>
  <si>
    <t xml:space="preserve">LTM Jun-26</t>
  </si>
  <si>
    <t xml:space="preserve">FY26E</t>
  </si>
  <si>
    <t xml:space="preserve">FY27E</t>
  </si>
  <si>
    <t xml:space="preserve">FY28E</t>
  </si>
  <si>
    <t xml:space="preserve">FY29E</t>
  </si>
  <si>
    <t xml:space="preserve">FY30E</t>
  </si>
  <si>
    <t xml:space="preserve">Source / note</t>
  </si>
  <si>
    <t xml:space="preserve">Period end date</t>
  </si>
  <si>
    <t xml:space="preserve">Weeks in period</t>
  </si>
  <si>
    <t xml:space="preserve">Unit growth and sales productivity (company restaurants)</t>
  </si>
  <si>
    <t xml:space="preserve">Company restaurant openings</t>
  </si>
  <si>
    <t xml:space="preserve">units</t>
  </si>
  <si>
    <t xml:space="preserve">Judgment. FY23–FY25 averaged 29.7 openings; 13 in 1H26 with openings 2H-weighted (FY25: 12 in 1H, 28 for the year). Pipeline: TXRH, Bubba's 33 and Jaggers.</t>
  </si>
  <si>
    <t xml:space="preserve">Franchise restaurants acquired</t>
  </si>
  <si>
    <t xml:space="preserve">FY26E = 5 acquired in 1Q26 (10-Q 2Q26). No further acquisitions assumed (Judgment: opportunistic, not guided).</t>
  </si>
  <si>
    <t xml:space="preserve">Store-week factor (store weeks ÷ avg units × weeks)</t>
  </si>
  <si>
    <t xml:space="preserve">x</t>
  </si>
  <si>
    <t xml:space="preserve">Judgment: 1.000. Historical 0.9997–1.0083 (FY25 high because 20 acquired units joined early in the year).</t>
  </si>
  <si>
    <t xml:space="preserve">Sales per store week growth</t>
  </si>
  <si>
    <t xml:space="preserve">%</t>
  </si>
  <si>
    <t xml:space="preserve">FY26E: 1H26 average weekly sales +6.3% y/y; comps +6.7% 1H26 and +6.2% first 5 weeks of 3Q26 (8-K 6 Aug 2026). Fades to 3% (≈2% price + 1% traffic) — Judgment.</t>
  </si>
  <si>
    <t xml:space="preserve">Royalties &amp; franchise fees growth (52-week basis)</t>
  </si>
  <si>
    <t xml:space="preserve">FY26E: 1H26 −12.0% y/y as acquired franchisees stop paying royalties. Then +3% (international growth). FY30E grossed up for the 53rd week in the build.</t>
  </si>
  <si>
    <t xml:space="preserve">Restaurant-level costs (% of restaurant and other sales)</t>
  </si>
  <si>
    <t xml:space="preserve">Food and beverage</t>
  </si>
  <si>
    <t xml:space="preserve">FY25 35.1%; 1H26 35.3% but 2H runs higher (2H25 36.1%). 2026 commodity inflation ~5% (8-K 6 Aug 2026) implies ~3.5% in 2H vs 6.6% in 1H. Beef cycle eases in outer years — Judgment.</t>
  </si>
  <si>
    <t xml:space="preserve">Labor</t>
  </si>
  <si>
    <t xml:space="preserve">FY25 33.3%; 1H26 32.7% (2H seasonally higher: 2H25 33.4%). 2026 wage inflation 3–4% (guidance) offset by check growth. Judgment: 33.0%.</t>
  </si>
  <si>
    <t xml:space="preserve">Rent</t>
  </si>
  <si>
    <t xml:space="preserve">FY25 1.6%; 1H26 1.5%. Held at FY25.</t>
  </si>
  <si>
    <t xml:space="preserve">Other operating</t>
  </si>
  <si>
    <t xml:space="preserve">FY25 14.6%; 1H26 14.1% (2H25 14.8%). Modest fixed-cost leverage — Judgment.</t>
  </si>
  <si>
    <t xml:space="preserve">  Implied restaurant margin</t>
  </si>
  <si>
    <t xml:space="preserve">Formula. Non-GAAP restaurant margin as defined in the 10-K (FY24 17.1%, FY25 15.5%).</t>
  </si>
  <si>
    <t xml:space="preserve">Below restaurant level</t>
  </si>
  <si>
    <t xml:space="preserve">Pre-opening cost per opening</t>
  </si>
  <si>
    <t xml:space="preserve">$M</t>
  </si>
  <si>
    <t xml:space="preserve">FY22–FY25 $0.95–$0.98M per opening (pre-opening ÷ company openings). +3% p.a. — Judgment.</t>
  </si>
  <si>
    <t xml:space="preserve">General and administrative (% of total revenue)</t>
  </si>
  <si>
    <t xml:space="preserve">FY25 3.9%; 1H26 4.0% (higher incentive comp). Judgment: 4.0%.</t>
  </si>
  <si>
    <t xml:space="preserve">D&amp;A (% of opening net PP&amp;E)</t>
  </si>
  <si>
    <t xml:space="preserve">FY23 12.1%, FY24 12.1%, FY25 12.8%; 1H26 annualised 12.8%. Judgment: 12.8%.</t>
  </si>
  <si>
    <t xml:space="preserve">Effective tax rate</t>
  </si>
  <si>
    <t xml:space="preserve">2026 guidance ~14% (8-K 6 Aug 2026). FICA tip credit keeps the rate below 21% federal + state. 15% thereafter — Judgment.</t>
  </si>
  <si>
    <t xml:space="preserve">NCI share of net income incl. NCI</t>
  </si>
  <si>
    <t xml:space="preserve">FY25 2.1%; 1H26 2.1% (20 majority-owned restaurants).</t>
  </si>
  <si>
    <t xml:space="preserve">Interest income yield on opening cash</t>
  </si>
  <si>
    <t xml:space="preserve">Judgment. FY25 interest income, net $3.1M on average cash ~$190M (~1.7%). Revolver interest is modelled separately on the Debt tab.</t>
  </si>
  <si>
    <t xml:space="preserve">Capital expenditure and investment</t>
  </si>
  <si>
    <t xml:space="preserve">Capex per new restaurant opening</t>
  </si>
  <si>
    <t xml:space="preserve">FY22–FY25: $6.0–$6.7M of new-restaurant capex per opening. Avg capital investment rises to ~$8.9M for 2026 TXRH units (incl. 10× rent for leased sites; 10-K FY25). +3% p.a. — Judgment.</t>
  </si>
  <si>
    <t xml:space="preserve">Refurbishment, expansion &amp; relocation capex (% of restaurant sales)</t>
  </si>
  <si>
    <t xml:space="preserve">FY22 2.6%, FY23 3.0%, FY24 2.8%, FY25 3.1%. FY26E 2.75% so total capex ≈ $400M (2026 guidance, 8-K 6 Aug 2026); 3.0% thereafter — Judgment.</t>
  </si>
  <si>
    <t xml:space="preserve">Support Center capex</t>
  </si>
  <si>
    <t xml:space="preserve">FY25 $27.8M included the $22.8M Support Center purchase (one-off). Run-rate $4–7M.</t>
  </si>
  <si>
    <t xml:space="preserve">Franchise acquisitions (cash)</t>
  </si>
  <si>
    <t xml:space="preserve">FY26E = $71.8M actually paid in 1H26 (10-Q 2Q26). Total 2026 capex guidance ~$400M (8-K 6 Aug 2026).</t>
  </si>
  <si>
    <t xml:space="preserve">Working capital and other balance-sheet drivers (year-end balances, % of total revenue unless noted)</t>
  </si>
  <si>
    <t xml:space="preserve">Receivables</t>
  </si>
  <si>
    <t xml:space="preserve">FY23 3.8%, FY24 3.6%, FY25 3.6%. Year-end gift-card receivables from third-party sellers. Held flat — Judgment.</t>
  </si>
  <si>
    <t xml:space="preserve">Inventories</t>
  </si>
  <si>
    <t xml:space="preserve">FY25 0.8%. Held flat — Judgment.</t>
  </si>
  <si>
    <t xml:space="preserve">Prepaid expenses &amp; other current assets</t>
  </si>
  <si>
    <t xml:space="preserve">FY25 0.7%. Held flat — Judgment.</t>
  </si>
  <si>
    <t xml:space="preserve">Other assets (incl. deferred-comp investments)</t>
  </si>
  <si>
    <t xml:space="preserve">FY25 2.6%. Held flat — Judgment.</t>
  </si>
  <si>
    <t xml:space="preserve">Accounts payable</t>
  </si>
  <si>
    <t xml:space="preserve">FY25 2.8%. Held flat — Judgment.</t>
  </si>
  <si>
    <t xml:space="preserve">Deferred revenue — gift cards</t>
  </si>
  <si>
    <t xml:space="preserve">FY24 7.5%, FY25 7.6%. Peaks at year end (holiday gift-card sales). Held flat — Judgment.</t>
  </si>
  <si>
    <t xml:space="preserve">Accrued wages</t>
  </si>
  <si>
    <t xml:space="preserve">FY25 1.7%. Held flat — Judgment.</t>
  </si>
  <si>
    <t xml:space="preserve">Accrued taxes &amp; licenses</t>
  </si>
  <si>
    <t xml:space="preserve">FY25 0.9%. Held flat — Judgment.</t>
  </si>
  <si>
    <t xml:space="preserve">Other accrued liabilities</t>
  </si>
  <si>
    <t xml:space="preserve">FY25 2.0%. Held flat — Judgment.</t>
  </si>
  <si>
    <t xml:space="preserve">Other liabilities (non-current)</t>
  </si>
  <si>
    <t xml:space="preserve">FY25 3.3% (deferred comp, insurance). Held flat — Judgment.</t>
  </si>
  <si>
    <t xml:space="preserve">Operating-lease ROU asset per company restaurant</t>
  </si>
  <si>
    <t xml:space="preserve">FY25 $1.23M per unit. +2.5% p.a. rent escalation on new leases — Judgment.</t>
  </si>
  <si>
    <t xml:space="preserve">Operating-lease liability per company restaurant</t>
  </si>
  <si>
    <t xml:space="preserve">FY25 $1.36M per unit. Same escalation.</t>
  </si>
  <si>
    <t xml:space="preserve">Current portion of operating-lease liabilities</t>
  </si>
  <si>
    <t xml:space="preserve">FY25 3.2% of total.</t>
  </si>
  <si>
    <t xml:space="preserve">Capital returns and share count</t>
  </si>
  <si>
    <t xml:space="preserve">Dividends declared per share</t>
  </si>
  <si>
    <t xml:space="preserve">$/sh</t>
  </si>
  <si>
    <t xml:space="preserve">FY26E: $0.75 quarterly declared 18 Feb 2026 (×4). +10% p.a. thereafter (FY24 +10.9%, FY25 +11.5%) — Judgment.</t>
  </si>
  <si>
    <t xml:space="preserve">Share repurchases</t>
  </si>
  <si>
    <t xml:space="preserve">FY25 $150.0M; $500M program (Feb 2025) had $380.0M remaining at FY25 year end; 1H26 $71.8M. Judgment: $150M p.a.</t>
  </si>
  <si>
    <t xml:space="preserve">Average repurchase price</t>
  </si>
  <si>
    <t xml:space="preserve">Current price, then +8% p.a. (≈ cost of equity less dividend yield) — Judgment.</t>
  </si>
  <si>
    <t xml:space="preserve">Share-based compensation (% of total revenue)</t>
  </si>
  <si>
    <t xml:space="preserve">FY25 0.81%; 1H26 0.81%.</t>
  </si>
  <si>
    <t xml:space="preserve">Tax withholding on vested shares</t>
  </si>
  <si>
    <t xml:space="preserve">FY22–FY25 $12.7–$19.5M. Judgment: $15M.</t>
  </si>
  <si>
    <t xml:space="preserve">Shares issued on vesting, net</t>
  </si>
  <si>
    <t xml:space="preserve">M</t>
  </si>
  <si>
    <t xml:space="preserve">Judgment: RSU vesting net of withholding adds ~0.2M shares p.a. (basic shares fell only 0.4M in FY25 despite 0.87M repurchased).</t>
  </si>
  <si>
    <t xml:space="preserve">Dilutive securities (diluted − basic)</t>
  </si>
  <si>
    <t xml:space="preserve">2Q26 diluted 65.920M − basic 65.696M = 0.224M.</t>
  </si>
  <si>
    <t xml:space="preserve">Minimum cash balance</t>
  </si>
  <si>
    <t xml:space="preserve">Judgment. TXRH drew $50M on the revolver in 1H26 while holding $202M of cash (gift-card seasonality); ~$150M year-end floor.</t>
  </si>
  <si>
    <t xml:space="preserve">Base rate (Term SOFR)</t>
  </si>
  <si>
    <t xml:space="preserve">Judgment anchored on fed funds target 3.75–4.00% (FOMC, 16 Sep 2026). Revolver rate 4.74% at 30 Jun 2026 (10-Q).</t>
  </si>
  <si>
    <t xml:space="preserve">Revolver margin (incl. 0.10% SOFR adjustment)</t>
  </si>
  <si>
    <t xml:space="preserve">Credit agreement: SOFR + 0.10% + 1.00–1.75% by net leverage (10-Q 2Q26 note 3). Lowest step at ~0x leverage.</t>
  </si>
  <si>
    <t xml:space="preserve">Market data and valuation inputs (single values in column D)</t>
  </si>
  <si>
    <t xml:space="preserve">TXRH share price (close)</t>
  </si>
  <si>
    <t xml:space="preserve">Yahoo Finance chart API, close 9 Oct 2026 (NasdaqGS). https://finance.yahoo.com/quote/TXRH</t>
  </si>
  <si>
    <t xml:space="preserve">52-week high</t>
  </si>
  <si>
    <t xml:space="preserve">Yahoo Finance, 12 months to 9 Oct 2026.</t>
  </si>
  <si>
    <t xml:space="preserve">52-week low</t>
  </si>
  <si>
    <t xml:space="preserve">Basic shares outstanding</t>
  </si>
  <si>
    <t xml:space="preserve">10-Q 2Q26 cover: 65,640,926 shares as of 29 Jul 2026.</t>
  </si>
  <si>
    <t xml:space="preserve">Dilutive securities (treasury method)</t>
  </si>
  <si>
    <t xml:space="preserve">10-Q 2Q26: diluted 65,920k − basic 65,696k weighted shares (13 weeks to 30 Jun 2026).</t>
  </si>
  <si>
    <t xml:space="preserve">Cash and cash equivalents (30 Jun 2026)</t>
  </si>
  <si>
    <t xml:space="preserve">10-Q 2Q26 balance sheet.</t>
  </si>
  <si>
    <t xml:space="preserve">Debt incl. finance leases (30 Jun 2026)</t>
  </si>
  <si>
    <t xml:space="preserve">Revolver $50.0M (10-Q 2Q26) + finance-lease liabilities $2.7M (10-K FY25 lease note; not separately reported in the 10-Q). Operating leases excluded (EBITDA is after rent).</t>
  </si>
  <si>
    <t xml:space="preserve">Other claims: (−) non-controlling interests</t>
  </si>
  <si>
    <t xml:space="preserve">10-Q 2Q26: NCI $21.2M at book value (20 majority-owned restaurants). Equity-method stakes (5–10% in 14 franchise units) immaterial and ignored.</t>
  </si>
  <si>
    <t xml:space="preserve">Dividend per share paid between 30 Jun and 9 Oct 2026</t>
  </si>
  <si>
    <t xml:space="preserve">$0.75 paid 29 Sep 2026 to holders of record 1 Sep 2026 (8-K 6 Aug 2026).</t>
  </si>
  <si>
    <t xml:space="preserve">Risk-free rate: 10-year US Treasury (CMT)</t>
  </si>
  <si>
    <t xml:space="preserve">U.S. Treasury Daily Par Yield Curve, 9 Oct 2026: 10-yr 5.24% (20-yr 5.65%). home.treasury.gov</t>
  </si>
  <si>
    <t xml:space="preserve">Equity risk premium</t>
  </si>
  <si>
    <t xml:space="preserve">Damodaran implied ERP 4.20% on 1 Oct 2026 (trailing 12m cash yield with adjusted payout), estimated over the 10-yr Treasury — same pairing used here. Cross-check: Kroll recommended 5.0% (2 Sep 2026) paired with the spot 20-yr (5.65%) gives ~1.2 pt higher Ke.</t>
  </si>
  <si>
    <t xml:space="preserve">Pre-tax cost of debt</t>
  </si>
  <si>
    <t xml:space="preserve">Base rate 3.90% + 1.10% revolver margin (10-Q 2Q26 terms); weight of debt is &lt;1% of capital.</t>
  </si>
  <si>
    <t xml:space="preserve">Marginal tax rate (for unlevering betas and tax shield)</t>
  </si>
  <si>
    <t xml:space="preserve">Judgment: 21% federal + ~4% state, net.</t>
  </si>
  <si>
    <t xml:space="preserve">Terminal growth rate</t>
  </si>
  <si>
    <t xml:space="preserve">Your judgment: enter a value and give the rationale (and a dated source, if any) in your memo.</t>
  </si>
  <si>
    <t xml:space="preserve">Exit multiple (EV / EBITDA, terminal year)</t>
  </si>
  <si>
    <t xml:space="preserve">Fed funds target range (context)</t>
  </si>
  <si>
    <t xml:space="preserve">FOMC statement 16 Sep 2026: raised 25 bp to 3.75–4.00% (upper bound shown).</t>
  </si>
  <si>
    <t xml:space="preserve">Texas Roadhouse (TXRH) — Operating build: units, store weeks, sales per store week</t>
  </si>
  <si>
    <t xml:space="preserve">(Company restaurants; $M unless noted. Store weeks and sales per store week drive restaurant and other sales.)</t>
  </si>
  <si>
    <t xml:space="preserve">Company restaurant count</t>
  </si>
  <si>
    <t xml:space="preserve">Company restaurants — beginning of period</t>
  </si>
  <si>
    <t xml:space="preserve">FY21 year-end 566 (10-K FY22). 6M columns begin at the prior fiscal year end.</t>
  </si>
  <si>
    <t xml:space="preserve">(+) Openings</t>
  </si>
  <si>
    <t xml:space="preserve">Restaurant unit activity tables, 10-K FY22–FY25; 8-K 6 Aug 2026.</t>
  </si>
  <si>
    <t xml:space="preserve">(+) Acquired from franchisees</t>
  </si>
  <si>
    <t xml:space="preserve">Derived: end − beginning − openings (no company closures reported). 1H26: 5 acquired (8-K).</t>
  </si>
  <si>
    <t xml:space="preserve">Company restaurants — end of period</t>
  </si>
  <si>
    <t xml:space="preserve">10-K FY22–FY25; 8-K 6 Aug 2026 (732 at 30 Jun 2026; 695 at 1 Jul 2025).</t>
  </si>
  <si>
    <t xml:space="preserve">Memo: franchise restaurants — end of period</t>
  </si>
  <si>
    <t xml:space="preserve">Domestic + international franchise units (10-K; 8-K).</t>
  </si>
  <si>
    <t xml:space="preserve">Average company restaurants</t>
  </si>
  <si>
    <t xml:space="preserve">Weeks in fiscal period</t>
  </si>
  <si>
    <t xml:space="preserve">wks</t>
  </si>
  <si>
    <t xml:space="preserve">Fiscal year ends last Tuesday of December: FY24 and FY30E are 53-week years.</t>
  </si>
  <si>
    <t xml:space="preserve">Store weeks and productivity</t>
  </si>
  <si>
    <t xml:space="preserve">Store weeks (company restaurants)</t>
  </si>
  <si>
    <t xml:space="preserve">10-K FY23–FY25 (Restaurant and other sales table).</t>
  </si>
  <si>
    <t xml:space="preserve">  Store-week growth</t>
  </si>
  <si>
    <t xml:space="preserve">2026 guidance: store-week growth 5–6% incl. franchise acquisitions.</t>
  </si>
  <si>
    <t xml:space="preserve">  Store-week factor</t>
  </si>
  <si>
    <t xml:space="preserve">Restaurant &amp; other sales per store week</t>
  </si>
  <si>
    <t xml:space="preserve">$000</t>
  </si>
  <si>
    <t xml:space="preserve">Derived from filings (includes gift-card breakage and other sales; reported AWS excludes them: FY25 $161,918).</t>
  </si>
  <si>
    <t xml:space="preserve">  Growth</t>
  </si>
  <si>
    <t xml:space="preserve">Restaurant and other sales</t>
  </si>
  <si>
    <t xml:space="preserve">Royalties and franchise fees</t>
  </si>
  <si>
    <t xml:space="preserve">Grows with the input rate, scaled for weeks in the period.</t>
  </si>
  <si>
    <t xml:space="preserve">  Royalty growth, 52-week basis</t>
  </si>
  <si>
    <t xml:space="preserve">Memo: reported KPIs (not used in formulas)</t>
  </si>
  <si>
    <t xml:space="preserve">Comparable restaurant sales growth (company)</t>
  </si>
  <si>
    <t xml:space="preserve">10-K FY23–FY25; 8-K 6 Aug 2026 (26 weeks). 6M25 comp not used. FY22 9.7% = 7.8% check + 1.9% traffic.</t>
  </si>
  <si>
    <t xml:space="preserve">  of which guest traffic</t>
  </si>
  <si>
    <t xml:space="preserve">10-K comparable-sales decomposition.</t>
  </si>
  <si>
    <t xml:space="preserve">  of which per-person average check</t>
  </si>
  <si>
    <t xml:space="preserve">Average weekly sales, company restaurants (reported)</t>
  </si>
  <si>
    <t xml:space="preserve">$</t>
  </si>
  <si>
    <t xml:space="preserve">8-K 18 Feb 2026 (FY25 vs FY24); 8-K 6 Aug 2026 (26 weeks). FY24 is a 53-week year.</t>
  </si>
  <si>
    <t xml:space="preserve">Capital expenditure build</t>
  </si>
  <si>
    <t xml:space="preserve">New company restaurants</t>
  </si>
  <si>
    <t xml:space="preserve">10-K Liquidity: capital expenditure table (FY22–FY25).</t>
  </si>
  <si>
    <t xml:space="preserve">Refurbishment or expansion of existing restaurants</t>
  </si>
  <si>
    <t xml:space="preserve">Relocation of existing restaurants</t>
  </si>
  <si>
    <t xml:space="preserve">Forecast relocation spend is included in the refurbishment % line above.</t>
  </si>
  <si>
    <t xml:space="preserve">Support Center</t>
  </si>
  <si>
    <t xml:space="preserve">Total capital expenditures</t>
  </si>
  <si>
    <t xml:space="preserve">Reconciles to the CF statement in history (Checks tab). 2026 guidance ≈ $400M.</t>
  </si>
  <si>
    <t xml:space="preserve">Texas Roadhouse (TXRH) — Income statement</t>
  </si>
  <si>
    <t xml:space="preserve">($ in millions except per share; fiscal years end on the last Tuesday of December; costs stored positive and subtracted)</t>
  </si>
  <si>
    <t xml:space="preserve">Revenue</t>
  </si>
  <si>
    <t xml:space="preserve">10-K FY25 (filed 27 Feb 2026), FY24 (28 Feb 2025), FY23 (23 Feb 2024); 10-Q 2Q26 (filed 7 Aug 2026)</t>
  </si>
  <si>
    <t xml:space="preserve">Total revenue</t>
  </si>
  <si>
    <t xml:space="preserve">FY24 includes a 53rd week ($114.7M of revenue per 10-K FY25).</t>
  </si>
  <si>
    <t xml:space="preserve">Costs and expenses</t>
  </si>
  <si>
    <t xml:space="preserve">Pre-opening</t>
  </si>
  <si>
    <t xml:space="preserve">Depreciation and amortization</t>
  </si>
  <si>
    <t xml:space="preserve">Impairment and closure, net</t>
  </si>
  <si>
    <t xml:space="preserve">Forecast nil (non-recurring) — Judgment.</t>
  </si>
  <si>
    <t xml:space="preserve">General and administrative</t>
  </si>
  <si>
    <t xml:space="preserve">Total costs and expenses</t>
  </si>
  <si>
    <t xml:space="preserve">Income from operations (EBIT)</t>
  </si>
  <si>
    <t xml:space="preserve">  EBIT margin</t>
  </si>
  <si>
    <t xml:space="preserve">Interest income (expense), net</t>
  </si>
  <si>
    <t xml:space="preserve">Forecast: yield on opening cash less revolver interest (Debt tab).</t>
  </si>
  <si>
    <t xml:space="preserve">Equity income from unconsolidated affiliates</t>
  </si>
  <si>
    <t xml:space="preserve">Forecast nil (immaterial) — Judgment.</t>
  </si>
  <si>
    <t xml:space="preserve">Income before taxes</t>
  </si>
  <si>
    <t xml:space="preserve">Income tax expense</t>
  </si>
  <si>
    <t xml:space="preserve">Net income including non-controlling interests</t>
  </si>
  <si>
    <t xml:space="preserve">Less: net income attributable to NCI</t>
  </si>
  <si>
    <t xml:space="preserve">Net income attributable to TXRH</t>
  </si>
  <si>
    <t xml:space="preserve">Per share</t>
  </si>
  <si>
    <t xml:space="preserve">Weighted average basic shares</t>
  </si>
  <si>
    <t xml:space="preserve">10-K / 10-Q income statements (thousands ÷ 1,000). LTM shown blank: use FY or period values.</t>
  </si>
  <si>
    <t xml:space="preserve">Weighted average diluted shares</t>
  </si>
  <si>
    <t xml:space="preserve">Diluted EPS</t>
  </si>
  <si>
    <t xml:space="preserve">Computed. Reported: FY22 $3.97, FY23 $4.54, FY24 $6.47, FY25 $6.10, 6M25 $3.57, 6M26 $3.72 (reconciled below). LTM = sum of periods.</t>
  </si>
  <si>
    <t xml:space="preserve">Non-GAAP and KPIs</t>
  </si>
  <si>
    <t xml:space="preserve">EBITDA (EBIT + D&amp;A)</t>
  </si>
  <si>
    <t xml:space="preserve">Unadjusted; after rent (ASC 842 operating-lease cost sits in rent and other operating). Same definition used for peers.</t>
  </si>
  <si>
    <t xml:space="preserve">  EBITDA margin</t>
  </si>
  <si>
    <t xml:space="preserve">Restaurant margin (non-GAAP)</t>
  </si>
  <si>
    <t xml:space="preserve">Company definition: restaurant &amp; other sales less food &amp; beverage, labor, rent and other operating (10-K).</t>
  </si>
  <si>
    <t xml:space="preserve">  % of restaurant and other sales</t>
  </si>
  <si>
    <t xml:space="preserve">  Change vs prior year</t>
  </si>
  <si>
    <t xml:space="preserve">bp</t>
  </si>
  <si>
    <t xml:space="preserve">Reconciliation to filed totals (Model / Reported / Delta; pass if |Δ| ≤ $0.5M or $0.005/sh)</t>
  </si>
  <si>
    <t xml:space="preserve">Reported: Total revenue</t>
  </si>
  <si>
    <t xml:space="preserve">  Delta (model − reported)</t>
  </si>
  <si>
    <t xml:space="preserve">Reported: Total costs and expenses</t>
  </si>
  <si>
    <t xml:space="preserve">Reported: Income from operations</t>
  </si>
  <si>
    <t xml:space="preserve">Reported: Income before taxes</t>
  </si>
  <si>
    <t xml:space="preserve">Reported: Net income attributable to TXRH</t>
  </si>
  <si>
    <t xml:space="preserve">Reported: Restaurant margin (10-K / 8-K reconciliation)</t>
  </si>
  <si>
    <t xml:space="preserve">FY24–FY25 10-K; 6M figures rounded to $0.1M in the 8-K (tolerance $0.1M on rounding).</t>
  </si>
  <si>
    <t xml:space="preserve">Reported: diluted EPS</t>
  </si>
  <si>
    <t xml:space="preserve">Texas Roadhouse (TXRH) — Balance sheet</t>
  </si>
  <si>
    <t xml:space="preserve">($ in millions; period-end balances. 6M25A column not used: the LTM balance sheet is 30 Jun 2026.)</t>
  </si>
  <si>
    <t xml:space="preserve">Assets</t>
  </si>
  <si>
    <t xml:space="preserve">Cash and cash equivalents</t>
  </si>
  <si>
    <t xml:space="preserve">10-K FY23 (FY22–FY23), 10-K FY25 (FY24–FY25), 10-Q 2Q26 (30 Jun 2026). Forecast: ending cash from the CF statement.</t>
  </si>
  <si>
    <t xml:space="preserve">Receivables, net</t>
  </si>
  <si>
    <t xml:space="preserve">Inventories, net</t>
  </si>
  <si>
    <t xml:space="preserve">Prepaid income taxes</t>
  </si>
  <si>
    <t xml:space="preserve">Forecast nil — Judgment (tax timing).</t>
  </si>
  <si>
    <t xml:space="preserve">Prepaid expenses and other current assets</t>
  </si>
  <si>
    <t xml:space="preserve">Total current assets</t>
  </si>
  <si>
    <t xml:space="preserve">Property and equipment, net</t>
  </si>
  <si>
    <t xml:space="preserve">Roll-forward: opening + capex − D&amp;A (sale-leasebacks and disposals assumed nil).</t>
  </si>
  <si>
    <t xml:space="preserve">Operating lease right-of-use assets, net</t>
  </si>
  <si>
    <t xml:space="preserve">Goodwill</t>
  </si>
  <si>
    <t xml:space="preserve">Forecast simplification: franchise acquisition price allocated 100% to goodwill.</t>
  </si>
  <si>
    <t xml:space="preserve">Intangible assets, net</t>
  </si>
  <si>
    <t xml:space="preserve">Held flat (amortisation folded into D&amp;A of PP&amp;E).</t>
  </si>
  <si>
    <t xml:space="preserve">Other assets</t>
  </si>
  <si>
    <t xml:space="preserve">Total assets</t>
  </si>
  <si>
    <t xml:space="preserve">Liabilities</t>
  </si>
  <si>
    <t xml:space="preserve">Current portion of operating lease liabilities</t>
  </si>
  <si>
    <t xml:space="preserve">Income taxes payable</t>
  </si>
  <si>
    <t xml:space="preserve">Held flat.</t>
  </si>
  <si>
    <t xml:space="preserve">Accrued taxes and licenses</t>
  </si>
  <si>
    <t xml:space="preserve">Total current liabilities</t>
  </si>
  <si>
    <t xml:space="preserve">Operating lease liabilities, net of current portion</t>
  </si>
  <si>
    <t xml:space="preserve">Long-term debt (revolving credit facility)</t>
  </si>
  <si>
    <t xml:space="preserve">Restricted stock and other deposits</t>
  </si>
  <si>
    <t xml:space="preserve">Deferred tax liabilities, net</t>
  </si>
  <si>
    <t xml:space="preserve">Held flat (no deferred tax in forecast).</t>
  </si>
  <si>
    <t xml:space="preserve">Other liabilities</t>
  </si>
  <si>
    <t xml:space="preserve">Total liabilities</t>
  </si>
  <si>
    <t xml:space="preserve">Equity</t>
  </si>
  <si>
    <t xml:space="preserve">Common stock and additional paid-in capital</t>
  </si>
  <si>
    <t xml:space="preserve">FY22: common stock $67k + APIC $13,139k. TXRH charges buybacks in excess of APIC to retained earnings; forecast holds this line flat.</t>
  </si>
  <si>
    <t xml:space="preserve">Retained earnings</t>
  </si>
  <si>
    <t xml:space="preserve">Roll-forward: + NI − dividends declared − buybacks + SBC − tax withholding.</t>
  </si>
  <si>
    <t xml:space="preserve">Accumulated other comprehensive income (loss)</t>
  </si>
  <si>
    <t xml:space="preserve">Total TXRH stockholders' equity</t>
  </si>
  <si>
    <t xml:space="preserve">Non-controlling interests</t>
  </si>
  <si>
    <t xml:space="preserve">Total equity</t>
  </si>
  <si>
    <t xml:space="preserve">Total liabilities and equity</t>
  </si>
  <si>
    <t xml:space="preserve">Balance check: assets − (liabilities + equity)</t>
  </si>
  <si>
    <t xml:space="preserve">Must be 0.00 in every column.</t>
  </si>
  <si>
    <t xml:space="preserve">Memo</t>
  </si>
  <si>
    <t xml:space="preserve">Basic shares outstanding, period end</t>
  </si>
  <si>
    <t xml:space="preserve">Balance-sheet share counts (10-K, 10-Q).</t>
  </si>
  <si>
    <t xml:space="preserve">Total operating lease liabilities</t>
  </si>
  <si>
    <t xml:space="preserve">Net debt / (net cash), excl. operating leases</t>
  </si>
  <si>
    <t xml:space="preserve">Lease-adjusted net debt / EBITDAR (memo)</t>
  </si>
  <si>
    <t xml:space="preserve">Credit view: capitalised operating leases against EBITDAR.</t>
  </si>
  <si>
    <t xml:space="preserve">Reconciliation to filed totals</t>
  </si>
  <si>
    <t xml:space="preserve">Reported: Total assets</t>
  </si>
  <si>
    <t xml:space="preserve">Reported: Total liabilities</t>
  </si>
  <si>
    <t xml:space="preserve">Reported: Total equity</t>
  </si>
  <si>
    <t xml:space="preserve">Texas Roadhouse (TXRH) — Cash flow statement</t>
  </si>
  <si>
    <t xml:space="preserve">($ in millions; as filed: inflows positive, outflows negative. Forecast lines derived from balance-sheet movements.)</t>
  </si>
  <si>
    <t xml:space="preserve">Operating activities</t>
  </si>
  <si>
    <t xml:space="preserve">Net income including NCI</t>
  </si>
  <si>
    <t xml:space="preserve">Deferred income taxes</t>
  </si>
  <si>
    <t xml:space="preserve">Loss on disposition of assets</t>
  </si>
  <si>
    <t xml:space="preserve">Impairment and closure costs</t>
  </si>
  <si>
    <t xml:space="preserve">Distributions received from unconsolidated affiliates</t>
  </si>
  <si>
    <t xml:space="preserve">Provision for doubtful accounts</t>
  </si>
  <si>
    <t xml:space="preserve">Share-based compensation expense</t>
  </si>
  <si>
    <t xml:space="preserve">Prepaid income taxes and income taxes payable</t>
  </si>
  <si>
    <t xml:space="preserve">Operating lease ROU assets and lease liabilities, net</t>
  </si>
  <si>
    <t xml:space="preserve">ASC 842: straight-line rent vs cash rent; non-cash.</t>
  </si>
  <si>
    <t xml:space="preserve">Net cash provided by operating activities</t>
  </si>
  <si>
    <t xml:space="preserve">Memo: working-capital &amp; other operating items (used in UFCF)</t>
  </si>
  <si>
    <t xml:space="preserve">Receivables through other liabilities.</t>
  </si>
  <si>
    <t xml:space="preserve">Investing activities</t>
  </si>
  <si>
    <t xml:space="preserve">Capital expenditures — property and equipment</t>
  </si>
  <si>
    <t xml:space="preserve">Acquisitions of franchise restaurants and franchise rights, net of cash</t>
  </si>
  <si>
    <t xml:space="preserve">FY25 = $107.5M restaurants + $6.0M franchise rights.</t>
  </si>
  <si>
    <t xml:space="preserve">Debt securities, investment sales, PP&amp;E sales and sale-leasebacks, net</t>
  </si>
  <si>
    <t xml:space="preserve">Sum of the remaining filed investing lines (e.g., FY25: −4.2 + 2.5 + 1.2 + 19.1). Forecast nil — Judgment.</t>
  </si>
  <si>
    <t xml:space="preserve">Net cash used in investing activities</t>
  </si>
  <si>
    <t xml:space="preserve">Financing activities</t>
  </si>
  <si>
    <t xml:space="preserve">Revolving credit facility, net borrowings (repayments)</t>
  </si>
  <si>
    <t xml:space="preserve">1H26: $70.0M drawn, $20.0M repaid.</t>
  </si>
  <si>
    <t xml:space="preserve">Distributions to NCI holders, net of contributions and NCI purchases</t>
  </si>
  <si>
    <t xml:space="preserve">Forecast: distributions equal NCI income (NCI book value flat).</t>
  </si>
  <si>
    <t xml:space="preserve">Debt issuance costs, restricted stock and other deposits, net</t>
  </si>
  <si>
    <t xml:space="preserve">Indirect repurchase of shares for minimum tax withholdings</t>
  </si>
  <si>
    <t xml:space="preserve">Repurchase of common stock</t>
  </si>
  <si>
    <t xml:space="preserve">Dividends paid to shareholders</t>
  </si>
  <si>
    <t xml:space="preserve">Forecast: DPS × weighted basic shares (declared ≈ paid).</t>
  </si>
  <si>
    <t xml:space="preserve">Net cash used in financing activities</t>
  </si>
  <si>
    <t xml:space="preserve">Cash</t>
  </si>
  <si>
    <t xml:space="preserve">Net change in cash</t>
  </si>
  <si>
    <t xml:space="preserve">Cash — beginning of period</t>
  </si>
  <si>
    <t xml:space="preserve">LTM opening cash = 1 Jul 2025 balance $176.8M (10-Q 2Q25 cash-flow statement).</t>
  </si>
  <si>
    <t xml:space="preserve">Cash — end of period</t>
  </si>
  <si>
    <t xml:space="preserve">Memo: cash before revolver draw/(repayment)</t>
  </si>
  <si>
    <t xml:space="preserve">Memo: free cash flow (CFO − capex)</t>
  </si>
  <si>
    <t xml:space="preserve">Reported: Net cash from operating activities</t>
  </si>
  <si>
    <t xml:space="preserve">Reported: Net cash used in investing activities</t>
  </si>
  <si>
    <t xml:space="preserve">Reported: Net cash used in financing activities</t>
  </si>
  <si>
    <t xml:space="preserve">Reported: Cash — end of period</t>
  </si>
  <si>
    <t xml:space="preserve">Texas Roadhouse (TXRH) — Debt and interest schedule</t>
  </si>
  <si>
    <t xml:space="preserve">($ in millions. Interest on opening balances, so the model has no circular reference.)</t>
  </si>
  <si>
    <t xml:space="preserve">Revolving credit facility — $450M unsecured, matures 24 Apr 2030; SOFR + 0.10% + 1.00–1.75%</t>
  </si>
  <si>
    <t xml:space="preserve">Commitment</t>
  </si>
  <si>
    <t xml:space="preserve">10-K FY25 note: $450M (+$250M accordion), maturity 24 Apr 2030. Forecast assumes extension/refinancing before FY30E maturity — Judgment.</t>
  </si>
  <si>
    <t xml:space="preserve">Letters of credit outstanding</t>
  </si>
  <si>
    <t xml:space="preserve">10-Q 2Q26: $2.4M.</t>
  </si>
  <si>
    <t xml:space="preserve">Opening balance</t>
  </si>
  <si>
    <t xml:space="preserve">Draw / (repayment)</t>
  </si>
  <si>
    <t xml:space="preserve">Draw to hold the minimum cash balance; repay with excess cash (sweep).</t>
  </si>
  <si>
    <t xml:space="preserve">Closing balance</t>
  </si>
  <si>
    <t xml:space="preserve">Availability (commitment − drawn − LCs)</t>
  </si>
  <si>
    <t xml:space="preserve">10-Q 2Q26 reported availability $397.6M.</t>
  </si>
  <si>
    <t xml:space="preserve">All-in rate (base + margin)</t>
  </si>
  <si>
    <t xml:space="preserve">10-K FY25 4.81%; 10-Q 2Q26 4.74%.</t>
  </si>
  <si>
    <t xml:space="preserve">Revolver interest expense (on opening balance)</t>
  </si>
  <si>
    <t xml:space="preserve">Interest income</t>
  </si>
  <si>
    <t xml:space="preserve">Opening cash</t>
  </si>
  <si>
    <t xml:space="preserve">Interest income on opening cash</t>
  </si>
  <si>
    <t xml:space="preserve">Credit statistics</t>
  </si>
  <si>
    <t xml:space="preserve">Gross debt / EBITDA</t>
  </si>
  <si>
    <t xml:space="preserve">Lease-adjusted (debt + operating-lease liabilities) / EBITDAR</t>
  </si>
  <si>
    <t xml:space="preserve">Covenants (max leverage, min fixed-charge coverage) are not quantified in the filings: n.d.</t>
  </si>
  <si>
    <t xml:space="preserve">Texas Roadhouse (TXRH) — Discounted cash flow (unlevered, mid-period)</t>
  </si>
  <si>
    <t xml:space="preserve">($ in millions except per share; valuation date 09 Oct 2026; balance sheet as of 30 Jun 2026)</t>
  </si>
  <si>
    <t xml:space="preserve">1H26A</t>
  </si>
  <si>
    <t xml:space="preserve">Unlevered free cash flow</t>
  </si>
  <si>
    <t xml:space="preserve">  Revenue growth</t>
  </si>
  <si>
    <t xml:space="preserve">EBITDA</t>
  </si>
  <si>
    <t xml:space="preserve">EBIT (income from operations)</t>
  </si>
  <si>
    <t xml:space="preserve">(−) Taxes on EBIT at forecast effective rate</t>
  </si>
  <si>
    <t xml:space="preserve">Unlevered tax at the forecast effective rate (FICA tip credit is operating and recurring). FY25A/1H26A columns use the FY26E rate.</t>
  </si>
  <si>
    <t xml:space="preserve">NOPAT</t>
  </si>
  <si>
    <t xml:space="preserve">(+) Depreciation &amp; amortization</t>
  </si>
  <si>
    <t xml:space="preserve">(−) Capital expenditures</t>
  </si>
  <si>
    <t xml:space="preserve">CF statement sign (outflow negative), linked as filed.</t>
  </si>
  <si>
    <t xml:space="preserve">(−) Acquisitions / other investing in UFCF</t>
  </si>
  <si>
    <t xml:space="preserve">Franchise acquisitions are growth investments (acquired units are in store weeks) — deducted.</t>
  </si>
  <si>
    <t xml:space="preserve">(−)/+ Change in operating working capital &amp; other operating items</t>
  </si>
  <si>
    <t xml:space="preserve">Sum of CF-statement working-capital lines (as filed sign).</t>
  </si>
  <si>
    <t xml:space="preserve">Unlevered free cash flow (UFCF)</t>
  </si>
  <si>
    <t xml:space="preserve">  UFCF margin</t>
  </si>
  <si>
    <t xml:space="preserve">Discounting (mid-period convention; first period = stub from balance-sheet date to fiscal year end)</t>
  </si>
  <si>
    <t xml:space="preserve">UFCF in discount period</t>
  </si>
  <si>
    <t xml:space="preserve">FY26E stub = FY26E UFCF − 1H26A UFCF (second-half cash flow after the 30 Jun 2026 balance sheet).</t>
  </si>
  <si>
    <t xml:space="preserve">Revenue in discount period</t>
  </si>
  <si>
    <t xml:space="preserve">Used by the operating-driver sensitivity.</t>
  </si>
  <si>
    <t xml:space="preserve">Period start</t>
  </si>
  <si>
    <t xml:space="preserve">date</t>
  </si>
  <si>
    <t xml:space="preserve">Period end</t>
  </si>
  <si>
    <t xml:space="preserve">Mid-period discount time from balance-sheet date</t>
  </si>
  <si>
    <t xml:space="preserve">years</t>
  </si>
  <si>
    <t xml:space="preserve">Discount factor at WACC</t>
  </si>
  <si>
    <t xml:space="preserve">PV of UFCF</t>
  </si>
  <si>
    <t xml:space="preserve">Weeks normalisation (52 ÷ weeks in year)</t>
  </si>
  <si>
    <t xml:space="preserve">53-week years overstate run-rate cash flow by ~1.9%; the terminal year is normalised to 52 weeks.</t>
  </si>
  <si>
    <t xml:space="preserve">Forecast year index (for growth sensitivity)</t>
  </si>
  <si>
    <t xml:space="preserve">index</t>
  </si>
  <si>
    <t xml:space="preserve">Tax rate applied</t>
  </si>
  <si>
    <t xml:space="preserve">WACC build (CAPM)</t>
  </si>
  <si>
    <t xml:space="preserve">Link to Inputs (U.S. Treasury, 9 Oct 2026).</t>
  </si>
  <si>
    <t xml:space="preserve">Link to Inputs (Damodaran implied ERP, 1 Oct 2026).</t>
  </si>
  <si>
    <t xml:space="preserve">Unlevered beta: peer median</t>
  </si>
  <si>
    <t xml:space="preserve">Comps tab: median of peer Blume-adjusted betas, unlevered at each peer's market D/E.</t>
  </si>
  <si>
    <t xml:space="preserve">Target debt / equity (market)</t>
  </si>
  <si>
    <t xml:space="preserve">Current market capital structure (operating leases excluded, consistent with EBITDA after rent).</t>
  </si>
  <si>
    <t xml:space="preserve">Relevered beta</t>
  </si>
  <si>
    <t xml:space="preserve">Hamada: βL = βU × (1 + (1 − t) × D/E).</t>
  </si>
  <si>
    <t xml:space="preserve">Cost of equity</t>
  </si>
  <si>
    <t xml:space="preserve">CAPM.</t>
  </si>
  <si>
    <t xml:space="preserve">Link to Inputs.</t>
  </si>
  <si>
    <t xml:space="preserve">After-tax cost of debt</t>
  </si>
  <si>
    <t xml:space="preserve">Equity market value</t>
  </si>
  <si>
    <t xml:space="preserve">Price × diluted shares.</t>
  </si>
  <si>
    <t xml:space="preserve">Debt (incl. finance leases)</t>
  </si>
  <si>
    <t xml:space="preserve">Link to Inputs (latest balance sheet).</t>
  </si>
  <si>
    <t xml:space="preserve">Equity weight</t>
  </si>
  <si>
    <t xml:space="preserve">WACC</t>
  </si>
  <si>
    <t xml:space="preserve">Base-case discount rate.</t>
  </si>
  <si>
    <t xml:space="preserve">Terminal value</t>
  </si>
  <si>
    <t xml:space="preserve">Terminal growth rate (Gordon)</t>
  </si>
  <si>
    <t xml:space="preserve">Exit multiple (EV / terminal-year EBITDA)</t>
  </si>
  <si>
    <t xml:space="preserve">Terminal-year UFCF, 52-week normalised</t>
  </si>
  <si>
    <t xml:space="preserve">Terminal-year EBITDA, 52-week normalised</t>
  </si>
  <si>
    <t xml:space="preserve">Discount time to end of terminal year</t>
  </si>
  <si>
    <t xml:space="preserve">TV — Gordon growth: UFCF × (1 + g) ÷ (WACC − g)</t>
  </si>
  <si>
    <t xml:space="preserve">TV — exit multiple: EBITDA × multiple</t>
  </si>
  <si>
    <t xml:space="preserve">PV of TV — Gordon</t>
  </si>
  <si>
    <t xml:space="preserve">PV of TV — exit multiple</t>
  </si>
  <si>
    <t xml:space="preserve">Sum of PV of discrete UFCF</t>
  </si>
  <si>
    <t xml:space="preserve">Enterprise value — Gordon</t>
  </si>
  <si>
    <t xml:space="preserve">Enterprise value — exit multiple</t>
  </si>
  <si>
    <t xml:space="preserve">  TV as % of EV — Gordon</t>
  </si>
  <si>
    <t xml:space="preserve">  TV as % of EV — exit</t>
  </si>
  <si>
    <t xml:space="preserve">  Implied exit multiple from Gordon TV</t>
  </si>
  <si>
    <t xml:space="preserve">Cross-check: should sit near the peer range.</t>
  </si>
  <si>
    <t xml:space="preserve">  Implied perpetual growth from exit-multiple TV</t>
  </si>
  <si>
    <t xml:space="preserve">Cross-check: should sit near long-run nominal GDP.</t>
  </si>
  <si>
    <t xml:space="preserve">Enterprise value to equity value (balance sheet as of 30 Jun 2026)</t>
  </si>
  <si>
    <t xml:space="preserve">Balance-sheet (valuation-anchor) date</t>
  </si>
  <si>
    <t xml:space="preserve">Latest 10-Q balance sheet.</t>
  </si>
  <si>
    <t xml:space="preserve">(+) Cash and cash equivalents</t>
  </si>
  <si>
    <t xml:space="preserve">(−) Debt (incl. finance leases)</t>
  </si>
  <si>
    <t xml:space="preserve">(−) Other claims / (+) other assets (see note)</t>
  </si>
  <si>
    <t xml:space="preserve">Non-controlling interests at book value (latest 10-Q).</t>
  </si>
  <si>
    <t xml:space="preserve">Parent share of consolidated equity value (1 − NCI share)</t>
  </si>
  <si>
    <t xml:space="preserve">No market-valued NCI deduction: NCI is deducted at book value in the line above.</t>
  </si>
  <si>
    <t xml:space="preserve">Diluted shares</t>
  </si>
  <si>
    <t xml:space="preserve">Basic shares (latest 10-Q cover) + dilutive securities (treasury method, latest quarter).</t>
  </si>
  <si>
    <t xml:space="preserve">Equity value — Gordon</t>
  </si>
  <si>
    <t xml:space="preserve">Equity value — exit multiple</t>
  </si>
  <si>
    <t xml:space="preserve">Value per share at balance-sheet date — Gordon</t>
  </si>
  <si>
    <t xml:space="preserve">Value per share at balance-sheet date — exit</t>
  </si>
  <si>
    <t xml:space="preserve">Valuation date (last close used)</t>
  </si>
  <si>
    <t xml:space="preserve">Price date on Inputs.</t>
  </si>
  <si>
    <t xml:space="preserve">Roll-forward factor to valuation date at cost of equity</t>
  </si>
  <si>
    <t xml:space="preserve">Equity value grows at Ke between the balance-sheet date and the valuation date.</t>
  </si>
  <si>
    <t xml:space="preserve">(−) Dividends per share paid in between</t>
  </si>
  <si>
    <t xml:space="preserve">Implied value per share — Gordon</t>
  </si>
  <si>
    <t xml:space="preserve">Implied value per share — exit multiple</t>
  </si>
  <si>
    <t xml:space="preserve">Implied value per share — midpoint of the two methods</t>
  </si>
  <si>
    <t xml:space="preserve">Headline DCF value.</t>
  </si>
  <si>
    <t xml:space="preserve">Current share price</t>
  </si>
  <si>
    <t xml:space="preserve">Upside / (downside) to midpoint</t>
  </si>
  <si>
    <t xml:space="preserve">Texas Roadhouse (TXRH) — Trading comparables</t>
  </si>
  <si>
    <t xml:space="preserve">($ in millions except per share; prices as of close 09 Oct 2026; LTM = last fiscal year + latest YTD − prior-year YTD, from each company's SEC XBRL filings)</t>
  </si>
  <si>
    <t xml:space="preserve">Ticker</t>
  </si>
  <si>
    <t xml:space="preserve">Company</t>
  </si>
  <si>
    <t xml:space="preserve">LTM period end</t>
  </si>
  <si>
    <t xml:space="preserve">Price ($)</t>
  </si>
  <si>
    <t xml:space="preserve">Diluted shares (M)</t>
  </si>
  <si>
    <t xml:space="preserve">Equity value</t>
  </si>
  <si>
    <t xml:space="preserve">Debt incl. fin. leases</t>
  </si>
  <si>
    <t xml:space="preserve">Other claims</t>
  </si>
  <si>
    <t xml:space="preserve">Enterprise value</t>
  </si>
  <si>
    <t xml:space="preserve">LTM revenue</t>
  </si>
  <si>
    <t xml:space="preserve">LTM EBITDA</t>
  </si>
  <si>
    <t xml:space="preserve">LTM net income</t>
  </si>
  <si>
    <t xml:space="preserve">LTM diluted EPS ($)</t>
  </si>
  <si>
    <t xml:space="preserve">EV / LTM revenue</t>
  </si>
  <si>
    <t xml:space="preserve">EV / LTM EBITDA</t>
  </si>
  <si>
    <t xml:space="preserve">P / LTM EPS</t>
  </si>
  <si>
    <t xml:space="preserve">EBITDA margin</t>
  </si>
  <si>
    <t xml:space="preserve">Raw beta (2y wkly)</t>
  </si>
  <si>
    <t xml:space="preserve">Adj. beta (Blume)</t>
  </si>
  <si>
    <t xml:space="preserve">D / E (market)</t>
  </si>
  <si>
    <t xml:space="preserve">Unlevered beta</t>
  </si>
  <si>
    <t xml:space="preserve">Source</t>
  </si>
  <si>
    <t xml:space="preserve">DRI</t>
  </si>
  <si>
    <t xml:space="preserve">Darden Restaurants</t>
  </si>
  <si>
    <t xml:space="preserve">10-Q Q1 FY27 (quarter to 30 Aug 2026, acc. 0000940944-26-000042, filed 2 Oct 2026). Debt = ST debt &amp; current LTD $979.7M + LTD $1,636.1M + finance leases $1,760.3M. Shares: cover, 2026-09-21. Price: Yahoo Finance close 9 Oct 2026.</t>
  </si>
  <si>
    <t xml:space="preserve">EAT</t>
  </si>
  <si>
    <t xml:space="preserve">Brinker International</t>
  </si>
  <si>
    <t xml:space="preserve">10-K FY26 (FY to 24 Jun 2026, acc. 0000703351-26-000029). Debt = LTD &amp; finance leases $419.7M + current installments $25.1M. Shares: cover, 2026-08-11. Price: Yahoo Finance close 9 Oct 2026.</t>
  </si>
  <si>
    <t xml:space="preserve">CAKE</t>
  </si>
  <si>
    <t xml:space="preserve">The Cheesecake Factory</t>
  </si>
  <si>
    <t xml:space="preserve">10-Q 2Q26 (to 30 Jun 2026, acc. 0001104659-26-089840). Debt = long-term debt (convertible notes) $562.9M. Shares: cover, 2026-07-27. Price: Yahoo Finance close 9 Oct 2026.</t>
  </si>
  <si>
    <t xml:space="preserve">BJRI</t>
  </si>
  <si>
    <t xml:space="preserve">BJ's Restaurants</t>
  </si>
  <si>
    <t xml:space="preserve">10-Q 2Q26 (to 30 Jun 2026, acc. 0001193125-26-326418). Debt = revolver $44.0M. Shares: cover, 2026-07-28. Price: Yahoo Finance close 9 Oct 2026.</t>
  </si>
  <si>
    <t xml:space="preserve">Maximum</t>
  </si>
  <si>
    <t xml:space="preserve">75th percentile</t>
  </si>
  <si>
    <t xml:space="preserve">Median</t>
  </si>
  <si>
    <t xml:space="preserve">Mean</t>
  </si>
  <si>
    <t xml:space="preserve">25th percentile</t>
  </si>
  <si>
    <t xml:space="preserve">Minimum</t>
  </si>
  <si>
    <t xml:space="preserve">TXRH</t>
  </si>
  <si>
    <t xml:space="preserve">Texas Roadhouse (subject, at market)</t>
  </si>
  <si>
    <t xml:space="preserve">TXRH LTM from IS tab (FY25 + 6M26 − 6M25); market data Inputs tab; beta: IC Simulator OLS of 105 weekly returns vs S&amp;P 500, 7 Oct 2024–9 Oct 2026 (Yahoo Finance).</t>
  </si>
  <si>
    <t xml:space="preserve">Peers: casual-dining operators with predominantly company-owned, leased restaurant fleets. EBITDA = operating income + D&amp;A as reported (no add-backs), after operating-lease rent for all companies (ASC 842).</t>
  </si>
  <si>
    <t xml:space="preserve">Debt includes finance-lease liabilities (their cost sits below EBITDA); operating-lease liabilities are excluded from EV for consistency with EBITDA after rent. Shares are basic shares from each 10-Q/10-K cover (dilution immaterial).</t>
  </si>
  <si>
    <t xml:space="preserve">Peer LTM build (FY + YTD − prior-year YTD). Values in $M from SEC XBRL company facts; EPS in $.</t>
  </si>
  <si>
    <t xml:space="preserve">Line item (XBRL concept)</t>
  </si>
  <si>
    <t xml:space="preserve">Last FY</t>
  </si>
  <si>
    <t xml:space="preserve">Latest YTD</t>
  </si>
  <si>
    <t xml:space="preserve">Prior-yr YTD</t>
  </si>
  <si>
    <t xml:space="preserve">LTM</t>
  </si>
  <si>
    <t xml:space="preserve">Revenue (RevenueFromContractWithCustomerExcludingAssessedTax)</t>
  </si>
  <si>
    <t xml:space="preserve">FY to 2026-05-31; YTD to 2026-08-30 vs 2025-08-24</t>
  </si>
  <si>
    <t xml:space="preserve">Operating income (OperatingIncomeLoss)</t>
  </si>
  <si>
    <t xml:space="preserve">D&amp;A (DepreciationDepletionAndAmortization)</t>
  </si>
  <si>
    <t xml:space="preserve">Net income (NetIncomeLoss)</t>
  </si>
  <si>
    <t xml:space="preserve">Diluted EPS ($) (EarningsPerShareDiluted)</t>
  </si>
  <si>
    <t xml:space="preserve">Revenue (Revenues)</t>
  </si>
  <si>
    <t xml:space="preserve">FY to 2026-06-24 is the latest period (10-K just filed)</t>
  </si>
  <si>
    <t xml:space="preserve">D&amp;A (Depreciation)</t>
  </si>
  <si>
    <t xml:space="preserve">FY to 2025-12-30; YTD to 2026-06-30 vs 2025-07-01</t>
  </si>
  <si>
    <t xml:space="preserve">Texas Roadhouse (TXRH) — Sensitivity analysis (implied value per share, $)</t>
  </si>
  <si>
    <t xml:space="preserve">Every cell is a live formula that re-runs the DCF (no Excel Data Tables). Axis values are blue inputs; the shaded cell is the base case.</t>
  </si>
  <si>
    <t xml:space="preserve">Grid 1 — DCF (Gordon growth): WACC × terminal growth rate</t>
  </si>
  <si>
    <t xml:space="preserve">Axis steps</t>
  </si>
  <si>
    <t xml:space="preserve">WACC ↓  ·  Terminal growth g →</t>
  </si>
  <si>
    <t xml:space="preserve">← column step</t>
  </si>
  <si>
    <t xml:space="preserve">← row step</t>
  </si>
  <si>
    <t xml:space="preserve">Reading the output: each 50 bp of WACC moves value roughly as much as 50 bp of g — the terminal value carries most of EV, so defend g against the implied exit multiple shown on the DCF tab.</t>
  </si>
  <si>
    <t xml:space="preserve">Grid 2 — DCF (exit multiple): WACC × exit EV/EBITDA multiple</t>
  </si>
  <si>
    <t xml:space="preserve">WACC ↓  ·  Exit multiple →</t>
  </si>
  <si>
    <t xml:space="preserve">Reading the output: the exit-multiple method is less sensitive to WACC than Gordon; if the multiple you need to justify the price is above peers, the market is pricing in more unit growth than the base case.</t>
  </si>
  <si>
    <t xml:space="preserve">Grid 3 — Operating drivers (Gordon DCF at base WACC and g): revenue growth Δ × EBITDA margin Δ</t>
  </si>
  <si>
    <t xml:space="preserve">Revenue growth Δ / yr ↓  ·  EBITDA margin Δ →</t>
  </si>
  <si>
    <t xml:space="preserve">Reading the output: margin moves value more than growth: 50 bp of EBITDA margin on a ~$6–8bn revenue base is worth more than 1 point of growth, which is why beef inflation is the thesis risk.</t>
  </si>
  <si>
    <t xml:space="preserve">Texas Roadhouse (TXRH) — Valuation summary (football field)</t>
  </si>
  <si>
    <t xml:space="preserve">(Implied value per share, $; price $161.50 at close 09 Oct 2026)</t>
  </si>
  <si>
    <t xml:space="preserve">Method</t>
  </si>
  <si>
    <t xml:space="preserve">Low</t>
  </si>
  <si>
    <t xml:space="preserve">High</t>
  </si>
  <si>
    <t xml:space="preserve">Bar length</t>
  </si>
  <si>
    <t xml:space="preserve">Basis</t>
  </si>
  <si>
    <t xml:space="preserve">52-week trading range</t>
  </si>
  <si>
    <t xml:space="preserve">Yahoo Finance daily high/low, 12 months to 09 Oct 2026</t>
  </si>
  <si>
    <t xml:space="preserve">Trading comps — EV / LTM EBITDA (25th–75th pct)</t>
  </si>
  <si>
    <t xml:space="preserve">Peer interquartile EV/EBITDA × subject LTM EBITDA, bridged to equity</t>
  </si>
  <si>
    <t xml:space="preserve">Trading comps — P / LTM EPS (25th–75th pct)</t>
  </si>
  <si>
    <t xml:space="preserve">Peer interquartile P/E × subject LTM diluted EPS</t>
  </si>
  <si>
    <t xml:space="preserve">DCF — Gordon growth (WACC ±50 bp, g ±50 bp)</t>
  </si>
  <si>
    <t xml:space="preserve">Inner 3×3 of Sensitivity grid 1</t>
  </si>
  <si>
    <t xml:space="preserve">DCF — exit multiple (WACC ±50 bp, multiple ±1.0x)</t>
  </si>
  <si>
    <t xml:space="preserve">Inner 3×3 of Sensitivity grid 2</t>
  </si>
  <si>
    <t xml:space="preserve">DCF midpoint (headline)</t>
  </si>
  <si>
    <t xml:space="preserve">Chart: invisible "Low" series + navy "Bar length" series (stacked bar). Compare bars with the current price line above.</t>
  </si>
  <si>
    <t xml:space="preserve">Texas Roadhouse (TXRH) — Quarterly history (10 quarters)</t>
  </si>
  <si>
    <t xml:space="preserve">($ in millions; Q1–Q3 from 10-Qs; *Q4 derived = FY − 9M, flagged; 4Q24 is a 14-week quarter)</t>
  </si>
  <si>
    <t xml:space="preserve">1Q24</t>
  </si>
  <si>
    <t xml:space="preserve">2Q24</t>
  </si>
  <si>
    <t xml:space="preserve">3Q24</t>
  </si>
  <si>
    <t xml:space="preserve">4Q24*</t>
  </si>
  <si>
    <t xml:space="preserve">1Q25</t>
  </si>
  <si>
    <t xml:space="preserve">2Q25</t>
  </si>
  <si>
    <t xml:space="preserve">3Q25</t>
  </si>
  <si>
    <t xml:space="preserve">4Q25*</t>
  </si>
  <si>
    <t xml:space="preserve">1Q26</t>
  </si>
  <si>
    <t xml:space="preserve">2Q26</t>
  </si>
  <si>
    <t xml:space="preserve">Quarterly income statement</t>
  </si>
  <si>
    <t xml:space="preserve">XBRL company facts (10-Q quarterly values). Q4 = FY (10-K) − Q1–Q3.</t>
  </si>
  <si>
    <t xml:space="preserve">Income from operations</t>
  </si>
  <si>
    <t xml:space="preserve">EBIT margin</t>
  </si>
  <si>
    <t xml:space="preserve">Revenue growth y/y</t>
  </si>
  <si>
    <t xml:space="preserve">4Q25 vs 14-week 4Q24 understates underlying growth (~7 points per 10-K).</t>
  </si>
  <si>
    <t xml:space="preserve">Check: 1Q+2Q vs reported 6M revenue</t>
  </si>
  <si>
    <t xml:space="preserve">Weakest recent quarters: 3Q25 and 4Q25 EBIT margins of 6.7% and 6.5% (beef-led commodity inflation) vs 9.6% for FY24. 4Q25 y/y growth (3.1%) is depressed by the 14-week 4Q24 comparison (* Q4 derived = FY − 9M).</t>
  </si>
  <si>
    <t xml:space="preserve">Texas Roadhouse (TXRH) — Checks</t>
  </si>
  <si>
    <t xml:space="preserve">Each check is a formula returning a difference. Internal builds must equal exactly 0.00; SEC-sourced ties pass if |Δ| ≤ 0.5 × unit ($0.5M).</t>
  </si>
  <si>
    <t xml:space="preserve">Check</t>
  </si>
  <si>
    <t xml:space="preserve">Δ (value)</t>
  </si>
  <si>
    <t xml:space="preserve">Tolerance</t>
  </si>
  <si>
    <t xml:space="preserve">Status</t>
  </si>
  <si>
    <t xml:space="preserve">Type / note</t>
  </si>
  <si>
    <t xml:space="preserve">Balance sheet balances — FY26E</t>
  </si>
  <si>
    <t xml:space="preserve">Internal: exact 0</t>
  </si>
  <si>
    <t xml:space="preserve">Balance sheet balances — FY27E</t>
  </si>
  <si>
    <t xml:space="preserve">Balance sheet balances — FY28E</t>
  </si>
  <si>
    <t xml:space="preserve">Balance sheet balances — FY29E</t>
  </si>
  <si>
    <t xml:space="preserve">Balance sheet balances — FY30E</t>
  </si>
  <si>
    <t xml:space="preserve">Balance sheet balances (filed) — FY22A</t>
  </si>
  <si>
    <t xml:space="preserve">SEC tie</t>
  </si>
  <si>
    <t xml:space="preserve">Balance sheet balances (filed) — FY23A</t>
  </si>
  <si>
    <t xml:space="preserve">Balance sheet balances (filed) — FY24A</t>
  </si>
  <si>
    <t xml:space="preserve">Balance sheet balances (filed) — FY25A</t>
  </si>
  <si>
    <t xml:space="preserve">Balance sheet balances (filed) — Jun-26</t>
  </si>
  <si>
    <t xml:space="preserve">Cash ties: CF ending cash = BS cash — FY26E</t>
  </si>
  <si>
    <t xml:space="preserve">Cash ties: CF ending cash = BS cash — FY27E</t>
  </si>
  <si>
    <t xml:space="preserve">Cash ties: CF ending cash = BS cash — FY28E</t>
  </si>
  <si>
    <t xml:space="preserve">Cash ties: CF ending cash = BS cash — FY29E</t>
  </si>
  <si>
    <t xml:space="preserve">Cash ties: CF ending cash = BS cash — FY30E</t>
  </si>
  <si>
    <t xml:space="preserve">IS reconciles to filings — Total revenue (sum of |Δ| FY22–6M26)</t>
  </si>
  <si>
    <t xml:space="preserve">SEC tie (6 periods × $0.5M)</t>
  </si>
  <si>
    <t xml:space="preserve">IS reconciles to filings — Total costs (sum of |Δ| FY22–6M26)</t>
  </si>
  <si>
    <t xml:space="preserve">IS reconciles to filings — EBIT (sum of |Δ| FY22–6M26)</t>
  </si>
  <si>
    <t xml:space="preserve">IS reconciles to filings — Pre-tax income (sum of |Δ| FY22–6M26)</t>
  </si>
  <si>
    <t xml:space="preserve">IS reconciles to filings — Net income (sum of |Δ| FY22–6M26)</t>
  </si>
  <si>
    <t xml:space="preserve">IS reconciles — diluted EPS (max |Δ|, $/sh)</t>
  </si>
  <si>
    <t xml:space="preserve">SEC tie: reported EPS rounded to $0.01</t>
  </si>
  <si>
    <t xml:space="preserve">IS reconciles — restaurant margin (sum |Δ|)</t>
  </si>
  <si>
    <t xml:space="preserve">Company non-GAAP; 6M rounded to $0.1M</t>
  </si>
  <si>
    <t xml:space="preserve">BS reconciles — Total assets (sum |Δ|)</t>
  </si>
  <si>
    <t xml:space="preserve">SEC tie (5 balance sheets)</t>
  </si>
  <si>
    <t xml:space="preserve">BS reconciles — Total liabilities (sum |Δ|)</t>
  </si>
  <si>
    <t xml:space="preserve">BS reconciles — Total equity (sum |Δ|)</t>
  </si>
  <si>
    <t xml:space="preserve">CF reconciles — CFO (sum |Δ|)</t>
  </si>
  <si>
    <t xml:space="preserve">CF reconciles — CFI (sum |Δ|)</t>
  </si>
  <si>
    <t xml:space="preserve">CF reconciles — CFF (sum |Δ|)</t>
  </si>
  <si>
    <t xml:space="preserve">CF reconciles — Ending cash (sum |Δ|)</t>
  </si>
  <si>
    <t xml:space="preserve">CF ending cash = BS cash (FY22A–FY25A, Jun-26)</t>
  </si>
  <si>
    <t xml:space="preserve">Capex build = CF capex (FY22A–FY25A)</t>
  </si>
  <si>
    <t xml:space="preserve">Quarterly: 1Q+2Q = reported 6M revenue (2025, 2026)</t>
  </si>
  <si>
    <t xml:space="preserve">LTM revenue = FY25 + 6M26 − 6M25</t>
  </si>
  <si>
    <t xml:space="preserve">Internal</t>
  </si>
  <si>
    <t xml:space="preserve">Revolver never negative (min closing balance)</t>
  </si>
  <si>
    <t xml:space="preserve">Revolver within availability (shortfall, if any)</t>
  </si>
  <si>
    <t xml:space="preserve">Cash ≥ minimum cash in every forecast year (shortfall)</t>
  </si>
  <si>
    <t xml:space="preserve">Sensitivity grid 1 base cell = DCF Gordon value</t>
  </si>
  <si>
    <t xml:space="preserve">Sensitivity grid 2 base cell = DCF exit-multiple value</t>
  </si>
  <si>
    <t xml:space="preserve">Sensitivity grid 3 base cell = DCF Gordon value</t>
  </si>
  <si>
    <t xml:space="preserve">WACC exceeds terminal growth (margin, must be &gt; 0)</t>
  </si>
  <si>
    <t xml:space="preserve">Internal: flags WACC − g &lt; 1 pt (0 until both are entered)</t>
  </si>
  <si>
    <t xml:space="preserve">MASTER CHECK</t>
  </si>
  <si>
    <t xml:space="preserve">Texas Roadhouse (TXRH) — Practice drills (warm-up before you build the forecast)</t>
  </si>
  <si>
    <t xml:space="preserve">Enter your answer in the yellow cell (column D). Column E says Correct / Not yet. Drills use only historical data and generic mechanics, never the valuation answer.</t>
  </si>
  <si>
    <t xml:space="preserve">No.</t>
  </si>
  <si>
    <t xml:space="preserve">Drill</t>
  </si>
  <si>
    <t xml:space="preserve">Your answer</t>
  </si>
  <si>
    <t xml:space="preserve">Feedback</t>
  </si>
  <si>
    <t xml:space="preserve">Hint (where to look)</t>
  </si>
  <si>
    <t xml:space="preserve">LTM Jun-26 total revenue ($M): FY25A + 6M26A − 6M25A.</t>
  </si>
  <si>
    <t xml:space="preserve">IS tab, revenue row. LTM is always FY + current YTD − prior-year YTD.</t>
  </si>
  <si>
    <t xml:space="preserve">FY25A restaurant margin (% of restaurant and other sales).</t>
  </si>
  <si>
    <t xml:space="preserve">Restaurant &amp; other sales less food &amp; beverage, labor, rent and other operating (company definition).</t>
  </si>
  <si>
    <t xml:space="preserve">FY25A EBITDA ($M), unadjusted.</t>
  </si>
  <si>
    <t xml:space="preserve">Income from operations + D&amp;A.</t>
  </si>
  <si>
    <t xml:space="preserve">FY25A restaurant &amp; other sales per store week ($000).</t>
  </si>
  <si>
    <t xml:space="preserve">Restaurant &amp; other sales ÷ store weeks (10-K).</t>
  </si>
  <si>
    <t xml:space="preserve">FY25A capital expenditure as % of total revenue.</t>
  </si>
  <si>
    <t xml:space="preserve">CF statement capex (outflow, negative) ÷ revenue.</t>
  </si>
  <si>
    <t xml:space="preserve">Net debt / (net cash) at 30 Jun 2026, excluding operating leases ($M; negative = net cash).</t>
  </si>
  <si>
    <t xml:space="preserve">Revolver − cash, 10-Q balance sheet.</t>
  </si>
  <si>
    <t xml:space="preserve">FY25A effective tax rate.</t>
  </si>
  <si>
    <t xml:space="preserve">Income tax expense ÷ income before taxes.</t>
  </si>
  <si>
    <t xml:space="preserve">FY25A gift-card deferred revenue as % of total revenue.</t>
  </si>
  <si>
    <t xml:space="preserve">Why is this balance highest at the December year end?</t>
  </si>
  <si>
    <t xml:space="preserve">Unlever a 1.00 levered beta at market D/E of 25% and a 25% tax rate (Hamada).</t>
  </si>
  <si>
    <t xml:space="preserve">βU = βL ÷ (1 + (1 − t) × D/E).</t>
  </si>
  <si>
    <t xml:space="preserve">Mid-period discount factor for a cash flow centred 0.75 years after the valuation anchor at a 9.0% WACC.</t>
  </si>
  <si>
    <t xml:space="preserve">DF = 1 ÷ (1 + WACC)^t.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</si>
</sst>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dd\-mmm\-yy"/>
    <numFmt numFmtId="166" formatCode="#,##0_);\(#,##0\);\–_)"/>
    <numFmt numFmtId="167" formatCode="0.000_);\(0.000\);\–_)"/>
    <numFmt numFmtId="168" formatCode="0.0%_);\(0.0%\);\–_)"/>
    <numFmt numFmtId="169" formatCode="0.00"/>
    <numFmt numFmtId="170" formatCode="0.00%_);\(0.00%\);\–_)"/>
    <numFmt numFmtId="171" formatCode="#,##0.0_);\(#,##0.0\);\–_)"/>
    <numFmt numFmtId="172" formatCode="\$#,##0.00_);&quot;($&quot;#,##0.00\);\–_)"/>
    <numFmt numFmtId="173" formatCode="0.0\x_);\(0.0&quot;x)&quot;;\–_)"/>
    <numFmt numFmtId="174" formatCode="#,##0&quot; bp&quot;;\(#,##0&quot; bp)&quot;"/>
    <numFmt numFmtId="175" formatCode="0.00_);\(0.00\);0.00_)"/>
    <numFmt numFmtId="176" formatCode="0.00\x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3A5F"/>
      <name val="Georgia"/>
      <family val="0"/>
      <charset val="1"/>
    </font>
    <font>
      <sz val="13"/>
      <color rgb="FF121826"/>
      <name val="Georgia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21826"/>
      <name val="Georgia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10"/>
      <color rgb="FF121826"/>
      <name val="Arial"/>
      <family val="0"/>
      <charset val="1"/>
    </font>
    <font>
      <sz val="9"/>
      <color rgb="FF5B6475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E4EAF3"/>
        <bgColor rgb="FFF2F4F8"/>
      </patternFill>
    </fill>
    <fill>
      <patternFill patternType="solid">
        <fgColor rgb="FFFFF9E6"/>
        <bgColor rgb="FFFFFFFF"/>
      </patternFill>
    </fill>
    <fill>
      <patternFill patternType="solid">
        <fgColor rgb="FFF2F4F8"/>
        <bgColor rgb="FFFFF9E6"/>
      </patternFill>
    </fill>
    <fill>
      <patternFill patternType="solid">
        <fgColor rgb="FFFCE9C8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12182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5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6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5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5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5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42318"/>
      </font>
    </dxf>
    <dxf>
      <font>
        <b val="1"/>
        <color rgb="FF0B5D4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5D4B"/>
      <rgbColor rgb="FFC0C0C0"/>
      <rgbColor rgb="FF808080"/>
      <rgbColor rgb="FF9999FF"/>
      <rgbColor rgb="FF993366"/>
      <rgbColor rgb="FFFFF9E6"/>
      <rgbColor rgb="FFE4EA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8"/>
      <rgbColor rgb="FFCCFFCC"/>
      <rgbColor rgb="FFFCE9C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1E3A5F"/>
      <rgbColor rgb="FF339966"/>
      <rgbColor rgb="FF121826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95"/>
  </cols>
  <sheetData>
    <row r="2" customFormat="false" ht="24.45" hidden="false" customHeight="false" outlineLevel="0" collapsed="false">
      <c r="B2" s="1" t="s">
        <v>0</v>
      </c>
    </row>
    <row r="3" customFormat="false" ht="16.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s">
        <v>7</v>
      </c>
    </row>
    <row r="8" customFormat="false" ht="15" hidden="false" customHeight="false" outlineLevel="0" collapsed="false">
      <c r="B8" s="3" t="s">
        <v>8</v>
      </c>
      <c r="C8" s="4" t="s">
        <v>9</v>
      </c>
    </row>
    <row r="9" customFormat="false" ht="1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4" t="s">
        <v>13</v>
      </c>
    </row>
    <row r="11" customFormat="false" ht="15" hidden="false" customHeight="false" outlineLevel="0" collapsed="false">
      <c r="B11" s="3" t="s">
        <v>14</v>
      </c>
      <c r="C11" s="5" t="str">
        <f aca="false">Checks!E46</f>
        <v>ALL CHECKS OK</v>
      </c>
    </row>
    <row r="13" customFormat="false" ht="15" hidden="false" customHeight="false" outlineLevel="0" collapsed="false">
      <c r="B13" s="6" t="s">
        <v>15</v>
      </c>
      <c r="C13" s="7"/>
    </row>
    <row r="14" customFormat="false" ht="15" hidden="false" customHeight="false" outlineLevel="0" collapsed="false">
      <c r="B14" s="3" t="s">
        <v>16</v>
      </c>
      <c r="C14" s="8" t="s">
        <v>17</v>
      </c>
    </row>
    <row r="15" customFormat="false" ht="23.85" hidden="false" customHeight="false" outlineLevel="0" collapsed="false">
      <c r="B15" s="3" t="s">
        <v>18</v>
      </c>
      <c r="C15" s="8" t="s">
        <v>19</v>
      </c>
    </row>
    <row r="16" customFormat="false" ht="23.85" hidden="false" customHeight="false" outlineLevel="0" collapsed="false">
      <c r="B16" s="3" t="s">
        <v>20</v>
      </c>
      <c r="C16" s="8" t="s">
        <v>21</v>
      </c>
    </row>
    <row r="17" customFormat="false" ht="23.85" hidden="false" customHeight="false" outlineLevel="0" collapsed="false">
      <c r="B17" s="3" t="s">
        <v>22</v>
      </c>
      <c r="C17" s="8" t="s">
        <v>23</v>
      </c>
    </row>
    <row r="18" customFormat="false" ht="15" hidden="false" customHeight="false" outlineLevel="0" collapsed="false">
      <c r="B18" s="3" t="s">
        <v>24</v>
      </c>
      <c r="C18" s="8" t="s">
        <v>25</v>
      </c>
    </row>
    <row r="19" customFormat="false" ht="23.85" hidden="false" customHeight="false" outlineLevel="0" collapsed="false">
      <c r="B19" s="3" t="s">
        <v>26</v>
      </c>
      <c r="C19" s="8" t="s">
        <v>27</v>
      </c>
    </row>
    <row r="20" customFormat="false" ht="15" hidden="false" customHeight="false" outlineLevel="0" collapsed="false">
      <c r="B20" s="3" t="s">
        <v>28</v>
      </c>
      <c r="C20" s="8" t="s">
        <v>29</v>
      </c>
    </row>
    <row r="21" customFormat="false" ht="23.85" hidden="false" customHeight="false" outlineLevel="0" collapsed="false">
      <c r="B21" s="3" t="s">
        <v>30</v>
      </c>
      <c r="C21" s="8" t="s">
        <v>31</v>
      </c>
    </row>
    <row r="22" customFormat="false" ht="15" hidden="false" customHeight="false" outlineLevel="0" collapsed="false">
      <c r="B22" s="3" t="s">
        <v>32</v>
      </c>
      <c r="C22" s="8" t="s">
        <v>33</v>
      </c>
    </row>
    <row r="23" customFormat="false" ht="15" hidden="false" customHeight="false" outlineLevel="0" collapsed="false">
      <c r="B23" s="3" t="s">
        <v>34</v>
      </c>
      <c r="C23" s="8" t="s">
        <v>35</v>
      </c>
    </row>
    <row r="24" customFormat="false" ht="15" hidden="false" customHeight="false" outlineLevel="0" collapsed="false">
      <c r="B24" s="3" t="s">
        <v>36</v>
      </c>
      <c r="C24" s="8" t="s">
        <v>37</v>
      </c>
    </row>
    <row r="25" customFormat="false" ht="15" hidden="false" customHeight="false" outlineLevel="0" collapsed="false">
      <c r="B25" s="3" t="s">
        <v>38</v>
      </c>
      <c r="C25" s="8" t="s">
        <v>39</v>
      </c>
    </row>
    <row r="26" customFormat="false" ht="15" hidden="false" customHeight="false" outlineLevel="0" collapsed="false">
      <c r="B26" s="3" t="s">
        <v>40</v>
      </c>
      <c r="C26" s="8" t="s">
        <v>41</v>
      </c>
    </row>
    <row r="27" customFormat="false" ht="23.85" hidden="false" customHeight="false" outlineLevel="0" collapsed="false">
      <c r="B27" s="3" t="s">
        <v>42</v>
      </c>
      <c r="C27" s="8" t="s">
        <v>43</v>
      </c>
    </row>
    <row r="29" customFormat="false" ht="15" hidden="false" customHeight="false" outlineLevel="0" collapsed="false">
      <c r="B29" s="6" t="s">
        <v>44</v>
      </c>
      <c r="C29" s="7"/>
    </row>
    <row r="30" customFormat="false" ht="45" hidden="false" customHeight="true" outlineLevel="0" collapsed="false">
      <c r="B30" s="3" t="s">
        <v>45</v>
      </c>
      <c r="C30" s="8" t="s">
        <v>46</v>
      </c>
    </row>
    <row r="31" customFormat="false" ht="30" hidden="false" customHeight="true" outlineLevel="0" collapsed="false">
      <c r="B31" s="3" t="s">
        <v>47</v>
      </c>
      <c r="C31" s="8" t="s">
        <v>48</v>
      </c>
    </row>
    <row r="32" customFormat="false" ht="45" hidden="false" customHeight="true" outlineLevel="0" collapsed="false">
      <c r="B32" s="3" t="s">
        <v>49</v>
      </c>
      <c r="C32" s="8" t="s">
        <v>50</v>
      </c>
    </row>
    <row r="33" customFormat="false" ht="30" hidden="false" customHeight="true" outlineLevel="0" collapsed="false">
      <c r="B33" s="3" t="s">
        <v>12</v>
      </c>
      <c r="C33" s="8" t="s">
        <v>51</v>
      </c>
    </row>
    <row r="34" customFormat="false" ht="30" hidden="false" customHeight="true" outlineLevel="0" collapsed="false">
      <c r="B34" s="3" t="s">
        <v>52</v>
      </c>
      <c r="C34" s="8" t="s">
        <v>53</v>
      </c>
    </row>
    <row r="35" customFormat="false" ht="30" hidden="false" customHeight="true" outlineLevel="0" collapsed="false">
      <c r="B35" s="3" t="s">
        <v>40</v>
      </c>
      <c r="C35" s="8" t="s">
        <v>54</v>
      </c>
    </row>
    <row r="36" customFormat="false" ht="60" hidden="false" customHeight="true" outlineLevel="0" collapsed="false">
      <c r="B36" s="3" t="s">
        <v>55</v>
      </c>
      <c r="C36" s="8" t="s">
        <v>56</v>
      </c>
    </row>
    <row r="37" customFormat="false" ht="15" hidden="false" customHeight="true" outlineLevel="0" collapsed="false">
      <c r="B37" s="3" t="s">
        <v>57</v>
      </c>
      <c r="C37" s="8" t="s">
        <v>58</v>
      </c>
    </row>
    <row r="38" customFormat="false" ht="60" hidden="false" customHeight="true" outlineLevel="0" collapsed="false">
      <c r="B38" s="3" t="s">
        <v>59</v>
      </c>
      <c r="C38" s="8" t="s">
        <v>60</v>
      </c>
    </row>
    <row r="39" customFormat="false" ht="45" hidden="false" customHeight="true" outlineLevel="0" collapsed="false">
      <c r="B39" s="3" t="s">
        <v>61</v>
      </c>
      <c r="C39" s="8" t="s">
        <v>62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63</v>
      </c>
    </row>
    <row r="2" customFormat="false" ht="15" hidden="false" customHeight="false" outlineLevel="0" collapsed="false">
      <c r="B2" s="10" t="s">
        <v>64</v>
      </c>
    </row>
    <row r="4" customFormat="false" ht="15" hidden="false" customHeight="false" outlineLevel="0" collapsed="false">
      <c r="B4" s="11" t="s">
        <v>65</v>
      </c>
      <c r="C4" s="11" t="s">
        <v>12</v>
      </c>
      <c r="D4" s="12" t="s">
        <v>66</v>
      </c>
      <c r="E4" s="12" t="s">
        <v>67</v>
      </c>
      <c r="F4" s="12" t="s">
        <v>68</v>
      </c>
      <c r="G4" s="12" t="s">
        <v>69</v>
      </c>
      <c r="H4" s="12" t="s">
        <v>70</v>
      </c>
      <c r="I4" s="12" t="s">
        <v>71</v>
      </c>
      <c r="J4" s="12" t="s">
        <v>72</v>
      </c>
      <c r="K4" s="12" t="s">
        <v>73</v>
      </c>
      <c r="L4" s="12" t="s">
        <v>74</v>
      </c>
      <c r="M4" s="12" t="s">
        <v>75</v>
      </c>
      <c r="N4" s="12" t="s">
        <v>76</v>
      </c>
      <c r="O4" s="12" t="s">
        <v>77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D5" s="15" t="n">
        <v>44922</v>
      </c>
      <c r="E5" s="15" t="n">
        <v>45286</v>
      </c>
      <c r="F5" s="15" t="n">
        <v>45657</v>
      </c>
      <c r="G5" s="15" t="n">
        <v>46021</v>
      </c>
      <c r="H5" s="15" t="n">
        <v>45839</v>
      </c>
      <c r="I5" s="15" t="n">
        <v>46203</v>
      </c>
      <c r="J5" s="15" t="n">
        <v>46203</v>
      </c>
      <c r="K5" s="15" t="n">
        <v>46385</v>
      </c>
      <c r="L5" s="15" t="n">
        <v>46749</v>
      </c>
      <c r="M5" s="15" t="n">
        <v>47113</v>
      </c>
      <c r="N5" s="15" t="n">
        <v>47477</v>
      </c>
      <c r="O5" s="15" t="n">
        <v>47848</v>
      </c>
      <c r="P5" s="14"/>
    </row>
    <row r="6" customFormat="false" ht="15" hidden="false" customHeight="false" outlineLevel="0" collapsed="false">
      <c r="B6" s="13" t="s">
        <v>80</v>
      </c>
      <c r="C6" s="14"/>
      <c r="D6" s="16" t="n">
        <v>52</v>
      </c>
      <c r="E6" s="16" t="n">
        <v>52</v>
      </c>
      <c r="F6" s="16" t="n">
        <v>53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53</v>
      </c>
      <c r="P6" s="14"/>
    </row>
    <row r="8" customFormat="false" ht="15" hidden="false" customHeight="false" outlineLevel="0" collapsed="false">
      <c r="B8" s="6" t="s">
        <v>81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82</v>
      </c>
      <c r="C9" s="17" t="s">
        <v>83</v>
      </c>
      <c r="D9" s="18" t="n">
        <f aca="false">'Operating build'!D10</f>
        <v>23</v>
      </c>
      <c r="E9" s="18" t="n">
        <f aca="false">'Operating build'!E10</f>
        <v>30</v>
      </c>
      <c r="F9" s="18" t="n">
        <f aca="false">'Operating build'!F10</f>
        <v>31</v>
      </c>
      <c r="G9" s="18" t="n">
        <f aca="false">'Operating build'!G10</f>
        <v>28</v>
      </c>
      <c r="H9" s="18" t="n">
        <f aca="false">'Operating build'!H10</f>
        <v>12</v>
      </c>
      <c r="I9" s="18" t="n">
        <f aca="false">'Operating build'!I10</f>
        <v>13</v>
      </c>
      <c r="K9" s="19"/>
      <c r="L9" s="19"/>
      <c r="M9" s="19"/>
      <c r="N9" s="19"/>
      <c r="O9" s="19"/>
      <c r="P9" s="20" t="s">
        <v>84</v>
      </c>
    </row>
    <row r="10" customFormat="false" ht="15" hidden="false" customHeight="false" outlineLevel="0" collapsed="false">
      <c r="B10" s="4" t="s">
        <v>85</v>
      </c>
      <c r="C10" s="17" t="s">
        <v>83</v>
      </c>
      <c r="D10" s="18" t="n">
        <f aca="false">'Operating build'!D11</f>
        <v>8</v>
      </c>
      <c r="E10" s="18" t="n">
        <f aca="false">'Operating build'!E11</f>
        <v>8</v>
      </c>
      <c r="F10" s="18" t="n">
        <f aca="false">'Operating build'!F11</f>
        <v>0</v>
      </c>
      <c r="G10" s="18" t="n">
        <f aca="false">'Operating build'!G11</f>
        <v>20</v>
      </c>
      <c r="H10" s="18" t="n">
        <f aca="false">'Operating build'!H11</f>
        <v>17</v>
      </c>
      <c r="I10" s="18" t="n">
        <f aca="false">'Operating build'!I11</f>
        <v>5</v>
      </c>
      <c r="K10" s="19"/>
      <c r="L10" s="19"/>
      <c r="M10" s="19"/>
      <c r="N10" s="19"/>
      <c r="O10" s="19"/>
      <c r="P10" s="20" t="s">
        <v>86</v>
      </c>
    </row>
    <row r="11" customFormat="false" ht="15" hidden="false" customHeight="false" outlineLevel="0" collapsed="false">
      <c r="B11" s="4" t="s">
        <v>87</v>
      </c>
      <c r="C11" s="17" t="s">
        <v>88</v>
      </c>
      <c r="D11" s="21" t="n">
        <f aca="false">'Operating build'!D20</f>
        <v>1.0015212646339</v>
      </c>
      <c r="E11" s="21" t="n">
        <f aca="false">'Operating build'!E20</f>
        <v>1.00056193806194</v>
      </c>
      <c r="F11" s="21" t="n">
        <f aca="false">'Operating build'!F20</f>
        <v>0.999637434194306</v>
      </c>
      <c r="G11" s="21" t="n">
        <f aca="false">'Operating build'!G20</f>
        <v>1.00830546265329</v>
      </c>
      <c r="K11" s="22"/>
      <c r="L11" s="22"/>
      <c r="M11" s="22"/>
      <c r="N11" s="22"/>
      <c r="O11" s="22"/>
      <c r="P11" s="20" t="s">
        <v>89</v>
      </c>
    </row>
    <row r="12" customFormat="false" ht="15" hidden="false" customHeight="false" outlineLevel="0" collapsed="false">
      <c r="B12" s="4" t="s">
        <v>90</v>
      </c>
      <c r="C12" s="17" t="s">
        <v>91</v>
      </c>
      <c r="E12" s="23" t="n">
        <f aca="false">'Operating build'!E22</f>
        <v>0.0907657507118278</v>
      </c>
      <c r="F12" s="23" t="n">
        <f aca="false">'Operating build'!F22</f>
        <v>0.0788640317726681</v>
      </c>
      <c r="G12" s="23" t="n">
        <f aca="false">'Operating build'!G22</f>
        <v>0.042748727835505</v>
      </c>
      <c r="K12" s="24"/>
      <c r="L12" s="24"/>
      <c r="M12" s="24"/>
      <c r="N12" s="24"/>
      <c r="O12" s="24"/>
      <c r="P12" s="20" t="s">
        <v>92</v>
      </c>
    </row>
    <row r="13" customFormat="false" ht="15" hidden="false" customHeight="false" outlineLevel="0" collapsed="false">
      <c r="B13" s="4" t="s">
        <v>93</v>
      </c>
      <c r="C13" s="17" t="s">
        <v>91</v>
      </c>
      <c r="E13" s="23" t="n">
        <f aca="false">'Operating build'!E25</f>
        <v>0.0378903857930188</v>
      </c>
      <c r="F13" s="23" t="n">
        <f aca="false">'Operating build'!F25</f>
        <v>0.138913511460048</v>
      </c>
      <c r="G13" s="23" t="n">
        <f aca="false">'Operating build'!G25</f>
        <v>-0.00142646990545581</v>
      </c>
      <c r="K13" s="24"/>
      <c r="L13" s="24"/>
      <c r="M13" s="24"/>
      <c r="N13" s="24"/>
      <c r="O13" s="24"/>
      <c r="P13" s="20" t="s">
        <v>94</v>
      </c>
    </row>
    <row r="14" customFormat="false" ht="15" hidden="false" customHeight="false" outlineLevel="0" collapsed="false">
      <c r="B14" s="6" t="s">
        <v>95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customFormat="false" ht="15" hidden="false" customHeight="false" outlineLevel="0" collapsed="false">
      <c r="B15" s="4" t="s">
        <v>96</v>
      </c>
      <c r="C15" s="17" t="s">
        <v>91</v>
      </c>
      <c r="D15" s="25" t="n">
        <f aca="false">IS!D14/IS!D9</f>
        <v>0.345516222835441</v>
      </c>
      <c r="E15" s="25" t="n">
        <f aca="false">IS!E14/IS!E9</f>
        <v>0.346146879806383</v>
      </c>
      <c r="F15" s="25" t="n">
        <f aca="false">IS!F14/IS!F9</f>
        <v>0.334175987246373</v>
      </c>
      <c r="G15" s="25" t="n">
        <f aca="false">IS!G14/IS!G9</f>
        <v>0.350539588461827</v>
      </c>
      <c r="H15" s="25" t="n">
        <f aca="false">IS!H14/IS!H9</f>
        <v>0.340423718106345</v>
      </c>
      <c r="I15" s="25" t="n">
        <f aca="false">IS!I14/IS!I9</f>
        <v>0.353323522049023</v>
      </c>
      <c r="J15" s="25" t="n">
        <f aca="false">IS!J14/IS!J9</f>
        <v>0.356822549544379</v>
      </c>
      <c r="K15" s="24"/>
      <c r="L15" s="24"/>
      <c r="M15" s="24"/>
      <c r="N15" s="24"/>
      <c r="O15" s="24"/>
      <c r="P15" s="20" t="s">
        <v>97</v>
      </c>
    </row>
    <row r="16" customFormat="false" ht="15" hidden="false" customHeight="false" outlineLevel="0" collapsed="false">
      <c r="B16" s="4" t="s">
        <v>98</v>
      </c>
      <c r="C16" s="17" t="s">
        <v>91</v>
      </c>
      <c r="D16" s="25" t="n">
        <f aca="false">IS!D15/IS!D9</f>
        <v>0.330917062337937</v>
      </c>
      <c r="E16" s="25" t="n">
        <f aca="false">IS!E15/IS!E9</f>
        <v>0.334261255270326</v>
      </c>
      <c r="F16" s="25" t="n">
        <f aca="false">IS!F15/IS!F9</f>
        <v>0.330361018919839</v>
      </c>
      <c r="G16" s="25" t="n">
        <f aca="false">IS!G15/IS!G9</f>
        <v>0.332536033276589</v>
      </c>
      <c r="H16" s="25" t="n">
        <f aca="false">IS!H15/IS!H9</f>
        <v>0.331154672256646</v>
      </c>
      <c r="I16" s="25" t="n">
        <f aca="false">IS!I15/IS!I9</f>
        <v>0.326893970848605</v>
      </c>
      <c r="J16" s="25" t="n">
        <f aca="false">IS!J15/IS!J9</f>
        <v>0.330190309745071</v>
      </c>
      <c r="K16" s="24"/>
      <c r="L16" s="24"/>
      <c r="M16" s="24"/>
      <c r="N16" s="24"/>
      <c r="O16" s="24"/>
      <c r="P16" s="20" t="s">
        <v>99</v>
      </c>
    </row>
    <row r="17" customFormat="false" ht="15" hidden="false" customHeight="false" outlineLevel="0" collapsed="false">
      <c r="B17" s="4" t="s">
        <v>100</v>
      </c>
      <c r="C17" s="17" t="s">
        <v>91</v>
      </c>
      <c r="D17" s="25" t="n">
        <f aca="false">IS!D16/IS!D9</f>
        <v>0.0167554529680798</v>
      </c>
      <c r="E17" s="25" t="n">
        <f aca="false">IS!E16/IS!E9</f>
        <v>0.0158030506320482</v>
      </c>
      <c r="F17" s="25" t="n">
        <f aca="false">IS!F16/IS!F9</f>
        <v>0.0150809091901256</v>
      </c>
      <c r="G17" s="25" t="n">
        <f aca="false">IS!G16/IS!G9</f>
        <v>0.0157888328053914</v>
      </c>
      <c r="H17" s="25" t="n">
        <f aca="false">IS!H16/IS!H9</f>
        <v>0.0154552024986448</v>
      </c>
      <c r="I17" s="25" t="n">
        <f aca="false">IS!I16/IS!I9</f>
        <v>0.0151412200622984</v>
      </c>
      <c r="J17" s="25" t="n">
        <f aca="false">IS!J16/IS!J9</f>
        <v>0.0156026905193373</v>
      </c>
      <c r="K17" s="24"/>
      <c r="L17" s="24"/>
      <c r="M17" s="24"/>
      <c r="N17" s="24"/>
      <c r="O17" s="24"/>
      <c r="P17" s="20" t="s">
        <v>101</v>
      </c>
    </row>
    <row r="18" customFormat="false" ht="15" hidden="false" customHeight="false" outlineLevel="0" collapsed="false">
      <c r="B18" s="4" t="s">
        <v>102</v>
      </c>
      <c r="C18" s="17" t="s">
        <v>91</v>
      </c>
      <c r="D18" s="25" t="n">
        <f aca="false">IS!D17/IS!D9</f>
        <v>0.149495172848114</v>
      </c>
      <c r="E18" s="25" t="n">
        <f aca="false">IS!E17/IS!E9</f>
        <v>0.150035812371839</v>
      </c>
      <c r="F18" s="25" t="n">
        <f aca="false">IS!F17/IS!F9</f>
        <v>0.148947752774178</v>
      </c>
      <c r="G18" s="25" t="n">
        <f aca="false">IS!G17/IS!G9</f>
        <v>0.146238717314888</v>
      </c>
      <c r="H18" s="25" t="n">
        <f aca="false">IS!H17/IS!H9</f>
        <v>0.144293275585909</v>
      </c>
      <c r="I18" s="25" t="n">
        <f aca="false">IS!I17/IS!I9</f>
        <v>0.14112186863749</v>
      </c>
      <c r="J18" s="25" t="n">
        <f aca="false">IS!J17/IS!J9</f>
        <v>0.14444016303051</v>
      </c>
      <c r="K18" s="24"/>
      <c r="L18" s="24"/>
      <c r="M18" s="24"/>
      <c r="N18" s="24"/>
      <c r="O18" s="24"/>
      <c r="P18" s="20" t="s">
        <v>103</v>
      </c>
    </row>
    <row r="19" customFormat="false" ht="15" hidden="false" customHeight="false" outlineLevel="0" collapsed="false">
      <c r="B19" s="4" t="s">
        <v>104</v>
      </c>
      <c r="C19" s="17" t="s">
        <v>91</v>
      </c>
      <c r="D19" s="25" t="n">
        <f aca="false">1-D15-D16-D17-D18</f>
        <v>0.15731608901043</v>
      </c>
      <c r="E19" s="25" t="n">
        <f aca="false">1-E15-E16-E17-E18</f>
        <v>0.153753001919404</v>
      </c>
      <c r="F19" s="25" t="n">
        <f aca="false">1-F15-F16-F17-F18</f>
        <v>0.171434331869484</v>
      </c>
      <c r="G19" s="25" t="n">
        <f aca="false">1-G15-G16-G17-G18</f>
        <v>0.154896828141306</v>
      </c>
      <c r="H19" s="25" t="n">
        <f aca="false">1-H15-H16-H17-H18</f>
        <v>0.168673131552456</v>
      </c>
      <c r="I19" s="25" t="n">
        <f aca="false">1-I15-I16-I17-I18</f>
        <v>0.163519418402583</v>
      </c>
      <c r="J19" s="25" t="n">
        <f aca="false">1-J15-J16-J17-J18</f>
        <v>0.152944287160702</v>
      </c>
      <c r="K19" s="24"/>
      <c r="L19" s="24"/>
      <c r="M19" s="24"/>
      <c r="N19" s="24"/>
      <c r="O19" s="24"/>
      <c r="P19" s="20" t="s">
        <v>105</v>
      </c>
    </row>
    <row r="20" customFormat="false" ht="15" hidden="false" customHeight="false" outlineLevel="0" collapsed="false">
      <c r="B20" s="6" t="s">
        <v>106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customFormat="false" ht="15" hidden="false" customHeight="false" outlineLevel="0" collapsed="false">
      <c r="B21" s="4" t="s">
        <v>107</v>
      </c>
      <c r="C21" s="17" t="s">
        <v>108</v>
      </c>
      <c r="D21" s="26" t="n">
        <f aca="false">IS!D18/D9</f>
        <v>0.951434782608696</v>
      </c>
      <c r="E21" s="26" t="n">
        <f aca="false">IS!E18/E9</f>
        <v>0.974466666666667</v>
      </c>
      <c r="F21" s="26" t="n">
        <f aca="false">IS!F18/F9</f>
        <v>0.906129032258065</v>
      </c>
      <c r="G21" s="26" t="n">
        <f aca="false">IS!G18/G9</f>
        <v>0.982214285714286</v>
      </c>
      <c r="K21" s="27"/>
      <c r="L21" s="27"/>
      <c r="M21" s="27"/>
      <c r="N21" s="27"/>
      <c r="O21" s="27"/>
      <c r="P21" s="20" t="s">
        <v>109</v>
      </c>
    </row>
    <row r="22" customFormat="false" ht="15" hidden="false" customHeight="false" outlineLevel="0" collapsed="false">
      <c r="B22" s="4" t="s">
        <v>110</v>
      </c>
      <c r="C22" s="17" t="s">
        <v>91</v>
      </c>
      <c r="D22" s="25" t="n">
        <f aca="false">IS!D21/IS!D11</f>
        <v>0.0430175552732197</v>
      </c>
      <c r="E22" s="25" t="n">
        <f aca="false">IS!E21/IS!E11</f>
        <v>0.042831616746609</v>
      </c>
      <c r="F22" s="25" t="n">
        <f aca="false">IS!F21/IS!F11</f>
        <v>0.0415503825187053</v>
      </c>
      <c r="G22" s="25" t="n">
        <f aca="false">IS!G21/IS!G11</f>
        <v>0.0386738855832904</v>
      </c>
      <c r="H22" s="25" t="n">
        <f aca="false">IS!H21/IS!H11</f>
        <v>0.0401999931074142</v>
      </c>
      <c r="I22" s="25" t="n">
        <f aca="false">IS!I21/IS!I11</f>
        <v>0.0402925682026306</v>
      </c>
      <c r="J22" s="25" t="n">
        <f aca="false">IS!J21/IS!J11</f>
        <v>0.0388096634606512</v>
      </c>
      <c r="K22" s="24"/>
      <c r="L22" s="24"/>
      <c r="M22" s="24"/>
      <c r="N22" s="24"/>
      <c r="O22" s="24"/>
      <c r="P22" s="20" t="s">
        <v>111</v>
      </c>
    </row>
    <row r="23" customFormat="false" ht="15" hidden="false" customHeight="false" outlineLevel="0" collapsed="false">
      <c r="B23" s="4" t="s">
        <v>112</v>
      </c>
      <c r="C23" s="17" t="s">
        <v>91</v>
      </c>
      <c r="E23" s="25" t="n">
        <f aca="false">IS!E19/BS!D15</f>
        <v>0.120598355255131</v>
      </c>
      <c r="F23" s="25" t="n">
        <f aca="false">IS!F19/BS!E15</f>
        <v>0.120807175860942</v>
      </c>
      <c r="G23" s="25" t="n">
        <f aca="false">IS!G19/BS!F15</f>
        <v>0.127739042439356</v>
      </c>
      <c r="K23" s="24"/>
      <c r="L23" s="24"/>
      <c r="M23" s="24"/>
      <c r="N23" s="24"/>
      <c r="O23" s="24"/>
      <c r="P23" s="20" t="s">
        <v>113</v>
      </c>
    </row>
    <row r="24" customFormat="false" ht="15" hidden="false" customHeight="false" outlineLevel="0" collapsed="false">
      <c r="B24" s="4" t="s">
        <v>114</v>
      </c>
      <c r="C24" s="17" t="s">
        <v>91</v>
      </c>
      <c r="D24" s="25" t="n">
        <f aca="false">IS!D28/IS!D27</f>
        <v>0.136051563589284</v>
      </c>
      <c r="E24" s="25" t="n">
        <f aca="false">IS!E28/IS!E27</f>
        <v>0.124605105993458</v>
      </c>
      <c r="F24" s="25" t="n">
        <f aca="false">IS!F28/IS!F27</f>
        <v>0.152805582565921</v>
      </c>
      <c r="G24" s="25" t="n">
        <f aca="false">IS!G28/IS!G27</f>
        <v>0.138159482148949</v>
      </c>
      <c r="H24" s="25" t="n">
        <f aca="false">IS!H28/IS!H27</f>
        <v>0.148447749675518</v>
      </c>
      <c r="I24" s="25" t="n">
        <f aca="false">IS!I28/IS!I27</f>
        <v>0.139206449019143</v>
      </c>
      <c r="J24" s="25" t="n">
        <f aca="false">IS!J28/IS!J27</f>
        <v>0.132759545270563</v>
      </c>
      <c r="K24" s="24"/>
      <c r="L24" s="24"/>
      <c r="M24" s="24"/>
      <c r="N24" s="24"/>
      <c r="O24" s="24"/>
      <c r="P24" s="20" t="s">
        <v>115</v>
      </c>
    </row>
    <row r="25" customFormat="false" ht="15" hidden="false" customHeight="false" outlineLevel="0" collapsed="false">
      <c r="B25" s="4" t="s">
        <v>116</v>
      </c>
      <c r="C25" s="17" t="s">
        <v>91</v>
      </c>
      <c r="D25" s="25" t="n">
        <f aca="false">IS!D30/IS!D29</f>
        <v>0.0280226371322457</v>
      </c>
      <c r="E25" s="25" t="n">
        <f aca="false">IS!E30/IS!E29</f>
        <v>0.0280513270104407</v>
      </c>
      <c r="F25" s="25" t="n">
        <f aca="false">IS!F30/IS!F29</f>
        <v>0.024199664674971</v>
      </c>
      <c r="G25" s="25" t="n">
        <f aca="false">IS!G30/IS!G29</f>
        <v>0.0211929960056476</v>
      </c>
      <c r="H25" s="25" t="n">
        <f aca="false">IS!H30/IS!H29</f>
        <v>0.0206177498022674</v>
      </c>
      <c r="I25" s="25" t="n">
        <f aca="false">IS!I30/IS!I29</f>
        <v>0.0205302005117581</v>
      </c>
      <c r="J25" s="25" t="n">
        <f aca="false">IS!J30/IS!J29</f>
        <v>0.0211304644485089</v>
      </c>
      <c r="K25" s="24"/>
      <c r="L25" s="24"/>
      <c r="M25" s="24"/>
      <c r="N25" s="24"/>
      <c r="O25" s="24"/>
      <c r="P25" s="20" t="s">
        <v>117</v>
      </c>
    </row>
    <row r="26" customFormat="false" ht="15" hidden="false" customHeight="false" outlineLevel="0" collapsed="false">
      <c r="B26" s="4" t="s">
        <v>118</v>
      </c>
      <c r="C26" s="17" t="s">
        <v>91</v>
      </c>
      <c r="K26" s="24"/>
      <c r="L26" s="24"/>
      <c r="M26" s="24"/>
      <c r="N26" s="24"/>
      <c r="O26" s="24"/>
      <c r="P26" s="20" t="s">
        <v>119</v>
      </c>
    </row>
    <row r="27" customFormat="false" ht="15" hidden="false" customHeight="false" outlineLevel="0" collapsed="false">
      <c r="B27" s="6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customFormat="false" ht="15" hidden="false" customHeight="false" outlineLevel="0" collapsed="false">
      <c r="B28" s="4" t="s">
        <v>121</v>
      </c>
      <c r="C28" s="17" t="s">
        <v>108</v>
      </c>
      <c r="D28" s="26" t="n">
        <f aca="false">'Operating build'!D34/D9</f>
        <v>6.05260869565217</v>
      </c>
      <c r="E28" s="26" t="n">
        <f aca="false">'Operating build'!E34/E9</f>
        <v>6.7078</v>
      </c>
      <c r="F28" s="26" t="n">
        <f aca="false">'Operating build'!F34/F9</f>
        <v>6.39893548387097</v>
      </c>
      <c r="G28" s="26" t="n">
        <f aca="false">'Operating build'!G34/G9</f>
        <v>6.45653571428571</v>
      </c>
      <c r="K28" s="27"/>
      <c r="L28" s="27"/>
      <c r="M28" s="27"/>
      <c r="N28" s="27"/>
      <c r="O28" s="27"/>
      <c r="P28" s="20" t="s">
        <v>122</v>
      </c>
    </row>
    <row r="29" customFormat="false" ht="15" hidden="false" customHeight="false" outlineLevel="0" collapsed="false">
      <c r="B29" s="4" t="s">
        <v>123</v>
      </c>
      <c r="C29" s="17" t="s">
        <v>91</v>
      </c>
      <c r="D29" s="28" t="n">
        <f aca="false">('Operating build'!D35+'Operating build'!D36)/IS!D9</f>
        <v>0.0257952848369343</v>
      </c>
      <c r="E29" s="28" t="n">
        <f aca="false">('Operating build'!E35+'Operating build'!E36)/IS!E9</f>
        <v>0.0304945929616636</v>
      </c>
      <c r="F29" s="28" t="n">
        <f aca="false">('Operating build'!F35+'Operating build'!F36)/IS!F9</f>
        <v>0.027806455924564</v>
      </c>
      <c r="G29" s="28" t="n">
        <f aca="false">('Operating build'!G35+'Operating build'!G36)/IS!G9</f>
        <v>0.0306885272592135</v>
      </c>
      <c r="K29" s="29"/>
      <c r="L29" s="29"/>
      <c r="M29" s="29"/>
      <c r="N29" s="29"/>
      <c r="O29" s="29"/>
      <c r="P29" s="20" t="s">
        <v>124</v>
      </c>
    </row>
    <row r="30" customFormat="false" ht="15" hidden="false" customHeight="false" outlineLevel="0" collapsed="false">
      <c r="B30" s="4" t="s">
        <v>125</v>
      </c>
      <c r="C30" s="17" t="s">
        <v>108</v>
      </c>
      <c r="D30" s="30" t="n">
        <f aca="false">'Operating build'!D37</f>
        <v>4.019</v>
      </c>
      <c r="E30" s="30" t="n">
        <f aca="false">'Operating build'!E37</f>
        <v>5.386</v>
      </c>
      <c r="F30" s="30" t="n">
        <f aca="false">'Operating build'!F37</f>
        <v>7.436</v>
      </c>
      <c r="G30" s="30" t="n">
        <f aca="false">'Operating build'!G37</f>
        <v>27.77</v>
      </c>
      <c r="K30" s="31"/>
      <c r="L30" s="31"/>
      <c r="M30" s="31"/>
      <c r="N30" s="31"/>
      <c r="O30" s="31"/>
      <c r="P30" s="20" t="s">
        <v>126</v>
      </c>
    </row>
    <row r="31" customFormat="false" ht="15" hidden="false" customHeight="false" outlineLevel="0" collapsed="false">
      <c r="B31" s="4" t="s">
        <v>127</v>
      </c>
      <c r="C31" s="17" t="s">
        <v>108</v>
      </c>
      <c r="D31" s="30" t="n">
        <f aca="false">-CF!D34</f>
        <v>33.069</v>
      </c>
      <c r="E31" s="30" t="n">
        <f aca="false">-CF!E34</f>
        <v>39.153</v>
      </c>
      <c r="F31" s="30" t="n">
        <f aca="false">-CF!F34</f>
        <v>-0</v>
      </c>
      <c r="G31" s="30" t="n">
        <f aca="false">-CF!G34</f>
        <v>113.528</v>
      </c>
      <c r="H31" s="30" t="n">
        <f aca="false">-CF!H34</f>
        <v>93.878</v>
      </c>
      <c r="I31" s="30" t="n">
        <f aca="false">-CF!I34</f>
        <v>71.778</v>
      </c>
      <c r="K31" s="31"/>
      <c r="L31" s="31"/>
      <c r="M31" s="31"/>
      <c r="N31" s="31"/>
      <c r="O31" s="31"/>
      <c r="P31" s="20" t="s">
        <v>128</v>
      </c>
    </row>
    <row r="32" customFormat="false" ht="15" hidden="false" customHeight="false" outlineLevel="0" collapsed="false">
      <c r="B32" s="6" t="s">
        <v>129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15" hidden="false" customHeight="false" outlineLevel="0" collapsed="false">
      <c r="B33" s="4" t="s">
        <v>130</v>
      </c>
      <c r="C33" s="17" t="s">
        <v>91</v>
      </c>
      <c r="D33" s="25" t="n">
        <f aca="false">BS!D10/IS!D11</f>
        <v>0.0374264088515858</v>
      </c>
      <c r="E33" s="25" t="n">
        <f aca="false">BS!E10/IS!E11</f>
        <v>0.0378856706606167</v>
      </c>
      <c r="F33" s="25" t="n">
        <f aca="false">BS!F10/IS!F11</f>
        <v>0.0359497607815784</v>
      </c>
      <c r="G33" s="25" t="n">
        <f aca="false">BS!G10/IS!G11</f>
        <v>0.0364934098323005</v>
      </c>
      <c r="K33" s="24"/>
      <c r="L33" s="24"/>
      <c r="M33" s="24"/>
      <c r="N33" s="24"/>
      <c r="O33" s="24"/>
      <c r="P33" s="20" t="s">
        <v>131</v>
      </c>
    </row>
    <row r="34" customFormat="false" ht="15" hidden="false" customHeight="false" outlineLevel="0" collapsed="false">
      <c r="B34" s="4" t="s">
        <v>132</v>
      </c>
      <c r="C34" s="17" t="s">
        <v>91</v>
      </c>
      <c r="D34" s="25" t="n">
        <f aca="false">BS!D11/IS!D11</f>
        <v>0.00946843510417022</v>
      </c>
      <c r="E34" s="25" t="n">
        <f aca="false">BS!E11/IS!E11</f>
        <v>0.00827347014209987</v>
      </c>
      <c r="F34" s="25" t="n">
        <f aca="false">BS!F11/IS!F11</f>
        <v>0.0075848654056738</v>
      </c>
      <c r="G34" s="25" t="n">
        <f aca="false">BS!G11/IS!G11</f>
        <v>0.00775083679605993</v>
      </c>
      <c r="K34" s="24"/>
      <c r="L34" s="24"/>
      <c r="M34" s="24"/>
      <c r="N34" s="24"/>
      <c r="O34" s="24"/>
      <c r="P34" s="20" t="s">
        <v>133</v>
      </c>
    </row>
    <row r="35" customFormat="false" ht="15" hidden="false" customHeight="false" outlineLevel="0" collapsed="false">
      <c r="B35" s="4" t="s">
        <v>134</v>
      </c>
      <c r="C35" s="17" t="s">
        <v>91</v>
      </c>
      <c r="D35" s="25" t="n">
        <f aca="false">BS!D13/IS!D11</f>
        <v>0.00737349869324885</v>
      </c>
      <c r="E35" s="25" t="n">
        <f aca="false">BS!E13/IS!E11</f>
        <v>0.00759380197906933</v>
      </c>
      <c r="F35" s="25" t="n">
        <f aca="false">BS!F13/IS!F11</f>
        <v>0.00696346326636806</v>
      </c>
      <c r="G35" s="25" t="n">
        <f aca="false">BS!G13/IS!G11</f>
        <v>0.00730205041616515</v>
      </c>
      <c r="K35" s="24"/>
      <c r="L35" s="24"/>
      <c r="M35" s="24"/>
      <c r="N35" s="24"/>
      <c r="O35" s="24"/>
      <c r="P35" s="20" t="s">
        <v>135</v>
      </c>
    </row>
    <row r="36" customFormat="false" ht="15" hidden="false" customHeight="false" outlineLevel="0" collapsed="false">
      <c r="B36" s="4" t="s">
        <v>136</v>
      </c>
      <c r="C36" s="17" t="s">
        <v>91</v>
      </c>
      <c r="D36" s="25" t="n">
        <f aca="false">BS!D19/IS!D11</f>
        <v>0.0184008693575138</v>
      </c>
      <c r="E36" s="25" t="n">
        <f aca="false">BS!E19/IS!E11</f>
        <v>0.0205107356479474</v>
      </c>
      <c r="F36" s="25" t="n">
        <f aca="false">BS!F19/IS!F11</f>
        <v>0.0215367299098585</v>
      </c>
      <c r="G36" s="25" t="n">
        <f aca="false">BS!G19/IS!G11</f>
        <v>0.0263133764029891</v>
      </c>
      <c r="K36" s="24"/>
      <c r="L36" s="24"/>
      <c r="M36" s="24"/>
      <c r="N36" s="24"/>
      <c r="O36" s="24"/>
      <c r="P36" s="20" t="s">
        <v>137</v>
      </c>
    </row>
    <row r="37" customFormat="false" ht="15" hidden="false" customHeight="false" outlineLevel="0" collapsed="false">
      <c r="B37" s="4" t="s">
        <v>138</v>
      </c>
      <c r="C37" s="17" t="s">
        <v>91</v>
      </c>
      <c r="D37" s="25" t="n">
        <f aca="false">BS!D23/IS!D11</f>
        <v>0.0262919376455664</v>
      </c>
      <c r="E37" s="25" t="n">
        <f aca="false">BS!E23/IS!E11</f>
        <v>0.0284212698999411</v>
      </c>
      <c r="F37" s="25" t="n">
        <f aca="false">BS!F23/IS!F11</f>
        <v>0.0269462225673009</v>
      </c>
      <c r="G37" s="25" t="n">
        <f aca="false">BS!G23/IS!G11</f>
        <v>0.0278017888509418</v>
      </c>
      <c r="K37" s="24"/>
      <c r="L37" s="24"/>
      <c r="M37" s="24"/>
      <c r="N37" s="24"/>
      <c r="O37" s="24"/>
      <c r="P37" s="20" t="s">
        <v>139</v>
      </c>
    </row>
    <row r="38" customFormat="false" ht="15" hidden="false" customHeight="false" outlineLevel="0" collapsed="false">
      <c r="B38" s="4" t="s">
        <v>140</v>
      </c>
      <c r="C38" s="17" t="s">
        <v>91</v>
      </c>
      <c r="D38" s="25" t="n">
        <f aca="false">BS!D24/IS!D11</f>
        <v>0.0835391697815074</v>
      </c>
      <c r="E38" s="25" t="n">
        <f aca="false">BS!E24/IS!E11</f>
        <v>0.0807295939781573</v>
      </c>
      <c r="F38" s="25" t="n">
        <f aca="false">BS!F24/IS!F11</f>
        <v>0.0746646587257218</v>
      </c>
      <c r="G38" s="25" t="n">
        <f aca="false">BS!G24/IS!G11</f>
        <v>0.0763419997192959</v>
      </c>
      <c r="K38" s="24"/>
      <c r="L38" s="24"/>
      <c r="M38" s="24"/>
      <c r="N38" s="24"/>
      <c r="O38" s="24"/>
      <c r="P38" s="20" t="s">
        <v>141</v>
      </c>
    </row>
    <row r="39" customFormat="false" ht="15" hidden="false" customHeight="false" outlineLevel="0" collapsed="false">
      <c r="B39" s="4" t="s">
        <v>142</v>
      </c>
      <c r="C39" s="17" t="s">
        <v>91</v>
      </c>
      <c r="D39" s="25" t="n">
        <f aca="false">BS!D25/IS!D11</f>
        <v>0.0135853301150036</v>
      </c>
      <c r="E39" s="25" t="n">
        <f aca="false">BS!E25/IS!E11</f>
        <v>0.0146949093113675</v>
      </c>
      <c r="F39" s="25" t="n">
        <f aca="false">BS!F25/IS!F11</f>
        <v>0.0189790990022578</v>
      </c>
      <c r="G39" s="25" t="n">
        <f aca="false">BS!G25/IS!G11</f>
        <v>0.016566648094827</v>
      </c>
      <c r="K39" s="24"/>
      <c r="L39" s="24"/>
      <c r="M39" s="24"/>
      <c r="N39" s="24"/>
      <c r="O39" s="24"/>
      <c r="P39" s="20" t="s">
        <v>143</v>
      </c>
    </row>
    <row r="40" customFormat="false" ht="15" hidden="false" customHeight="false" outlineLevel="0" collapsed="false">
      <c r="B40" s="4" t="s">
        <v>144</v>
      </c>
      <c r="C40" s="17" t="s">
        <v>91</v>
      </c>
      <c r="D40" s="25" t="n">
        <f aca="false">BS!D27/IS!D11</f>
        <v>0.00878324070796945</v>
      </c>
      <c r="E40" s="25" t="n">
        <f aca="false">BS!E27/IS!E11</f>
        <v>0.00923165543674077</v>
      </c>
      <c r="F40" s="25" t="n">
        <f aca="false">BS!F27/IS!F11</f>
        <v>0.0105751887283347</v>
      </c>
      <c r="G40" s="25" t="n">
        <f aca="false">BS!G27/IS!G11</f>
        <v>0.00908817937845298</v>
      </c>
      <c r="K40" s="24"/>
      <c r="L40" s="24"/>
      <c r="M40" s="24"/>
      <c r="N40" s="24"/>
      <c r="O40" s="24"/>
      <c r="P40" s="20" t="s">
        <v>145</v>
      </c>
    </row>
    <row r="41" customFormat="false" ht="15" hidden="false" customHeight="false" outlineLevel="0" collapsed="false">
      <c r="B41" s="4" t="s">
        <v>146</v>
      </c>
      <c r="C41" s="17" t="s">
        <v>91</v>
      </c>
      <c r="D41" s="25" t="n">
        <f aca="false">BS!D28/IS!D11</f>
        <v>0.0237402049705112</v>
      </c>
      <c r="E41" s="25" t="n">
        <f aca="false">BS!E28/IS!E11</f>
        <v>0.0219229686385392</v>
      </c>
      <c r="F41" s="25" t="n">
        <f aca="false">BS!F28/IS!F11</f>
        <v>0.0171547188969526</v>
      </c>
      <c r="G41" s="25" t="n">
        <f aca="false">BS!G28/IS!G11</f>
        <v>0.0195293527217669</v>
      </c>
      <c r="K41" s="24"/>
      <c r="L41" s="24"/>
      <c r="M41" s="24"/>
      <c r="N41" s="24"/>
      <c r="O41" s="24"/>
      <c r="P41" s="20" t="s">
        <v>147</v>
      </c>
    </row>
    <row r="42" customFormat="false" ht="15" hidden="false" customHeight="false" outlineLevel="0" collapsed="false">
      <c r="B42" s="4" t="s">
        <v>148</v>
      </c>
      <c r="C42" s="17" t="s">
        <v>91</v>
      </c>
      <c r="D42" s="25" t="n">
        <f aca="false">BS!D34/IS!D11</f>
        <v>0.0222074218682868</v>
      </c>
      <c r="E42" s="25" t="n">
        <f aca="false">BS!E34/IS!E11</f>
        <v>0.0248199786167932</v>
      </c>
      <c r="F42" s="25" t="n">
        <f aca="false">BS!F34/IS!F11</f>
        <v>0.0270137784153296</v>
      </c>
      <c r="G42" s="25" t="n">
        <f aca="false">BS!G34/IS!G11</f>
        <v>0.0326052321550848</v>
      </c>
      <c r="K42" s="24"/>
      <c r="L42" s="24"/>
      <c r="M42" s="24"/>
      <c r="N42" s="24"/>
      <c r="O42" s="24"/>
      <c r="P42" s="20" t="s">
        <v>149</v>
      </c>
    </row>
    <row r="43" customFormat="false" ht="15" hidden="false" customHeight="false" outlineLevel="0" collapsed="false">
      <c r="B43" s="4" t="s">
        <v>150</v>
      </c>
      <c r="C43" s="17" t="s">
        <v>108</v>
      </c>
      <c r="D43" s="26" t="n">
        <f aca="false">BS!D16/'Operating build'!D12</f>
        <v>1.05570854271357</v>
      </c>
      <c r="E43" s="26" t="n">
        <f aca="false">BS!E16/'Operating build'!E12</f>
        <v>1.09293543307087</v>
      </c>
      <c r="F43" s="26" t="n">
        <f aca="false">BS!F16/'Operating build'!F12</f>
        <v>1.15595345345345</v>
      </c>
      <c r="G43" s="26" t="n">
        <f aca="false">BS!G16/'Operating build'!G12</f>
        <v>1.23182212885154</v>
      </c>
      <c r="K43" s="27"/>
      <c r="L43" s="27"/>
      <c r="M43" s="27"/>
      <c r="N43" s="27"/>
      <c r="O43" s="27"/>
      <c r="P43" s="20" t="s">
        <v>151</v>
      </c>
    </row>
    <row r="44" customFormat="false" ht="15" hidden="false" customHeight="false" outlineLevel="0" collapsed="false">
      <c r="B44" s="4" t="s">
        <v>152</v>
      </c>
      <c r="C44" s="17" t="s">
        <v>108</v>
      </c>
      <c r="D44" s="26" t="n">
        <f aca="false">(BS!D22+BS!D30)/'Operating build'!D12</f>
        <v>1.17816415410385</v>
      </c>
      <c r="E44" s="26" t="n">
        <f aca="false">(BS!E22+BS!E30)/'Operating build'!E12</f>
        <v>1.21399527559055</v>
      </c>
      <c r="F44" s="26" t="n">
        <f aca="false">(BS!F22+BS!F30)/'Operating build'!F12</f>
        <v>1.28299099099099</v>
      </c>
      <c r="G44" s="26" t="n">
        <f aca="false">(BS!G22+BS!G30)/'Operating build'!G12</f>
        <v>1.36417787114846</v>
      </c>
      <c r="K44" s="27"/>
      <c r="L44" s="27"/>
      <c r="M44" s="27"/>
      <c r="N44" s="27"/>
      <c r="O44" s="27"/>
      <c r="P44" s="20" t="s">
        <v>153</v>
      </c>
    </row>
    <row r="45" customFormat="false" ht="15" hidden="false" customHeight="false" outlineLevel="0" collapsed="false">
      <c r="B45" s="4" t="s">
        <v>154</v>
      </c>
      <c r="C45" s="17" t="s">
        <v>91</v>
      </c>
      <c r="D45" s="25" t="n">
        <f aca="false">BS!D22/(BS!D22+BS!D30)</f>
        <v>0.0362401260229412</v>
      </c>
      <c r="E45" s="25" t="n">
        <f aca="false">BS!E22/(BS!E22+BS!E30)</f>
        <v>0.0355577406286525</v>
      </c>
      <c r="F45" s="25" t="n">
        <f aca="false">BS!F22/(BS!F22+BS!F30)</f>
        <v>0.0329700680654252</v>
      </c>
      <c r="G45" s="25" t="n">
        <f aca="false">BS!G22/(BS!G22+BS!G30)</f>
        <v>0.0317785103637183</v>
      </c>
      <c r="K45" s="24"/>
      <c r="L45" s="24"/>
      <c r="M45" s="24"/>
      <c r="N45" s="24"/>
      <c r="O45" s="24"/>
      <c r="P45" s="20" t="s">
        <v>155</v>
      </c>
    </row>
    <row r="46" customFormat="false" ht="15" hidden="false" customHeight="false" outlineLevel="0" collapsed="false">
      <c r="B46" s="6" t="s">
        <v>156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customFormat="false" ht="15" hidden="false" customHeight="false" outlineLevel="0" collapsed="false">
      <c r="B47" s="4" t="s">
        <v>157</v>
      </c>
      <c r="C47" s="17" t="s">
        <v>158</v>
      </c>
      <c r="D47" s="32" t="n">
        <f aca="false">IS!D36</f>
        <v>1.84</v>
      </c>
      <c r="E47" s="32" t="n">
        <f aca="false">IS!E36</f>
        <v>2.2</v>
      </c>
      <c r="F47" s="32" t="n">
        <f aca="false">IS!F36</f>
        <v>2.44</v>
      </c>
      <c r="G47" s="32" t="n">
        <f aca="false">IS!G36</f>
        <v>2.72</v>
      </c>
      <c r="H47" s="32" t="n">
        <f aca="false">IS!H36</f>
        <v>1.36</v>
      </c>
      <c r="I47" s="32" t="n">
        <f aca="false">IS!I36</f>
        <v>1.5</v>
      </c>
      <c r="K47" s="33"/>
      <c r="L47" s="33"/>
      <c r="M47" s="33"/>
      <c r="N47" s="33"/>
      <c r="O47" s="33"/>
      <c r="P47" s="20" t="s">
        <v>159</v>
      </c>
    </row>
    <row r="48" customFormat="false" ht="15" hidden="false" customHeight="false" outlineLevel="0" collapsed="false">
      <c r="B48" s="4" t="s">
        <v>160</v>
      </c>
      <c r="C48" s="17" t="s">
        <v>108</v>
      </c>
      <c r="D48" s="30" t="n">
        <f aca="false">-CF!D42</f>
        <v>212.859</v>
      </c>
      <c r="E48" s="30" t="n">
        <f aca="false">-CF!E42</f>
        <v>49.993</v>
      </c>
      <c r="F48" s="30" t="n">
        <f aca="false">-CF!F42</f>
        <v>80.003</v>
      </c>
      <c r="G48" s="30" t="n">
        <f aca="false">-CF!G42</f>
        <v>150.437</v>
      </c>
      <c r="H48" s="30" t="n">
        <f aca="false">-CF!H42</f>
        <v>60.414</v>
      </c>
      <c r="I48" s="30" t="n">
        <f aca="false">-CF!I42</f>
        <v>71.845</v>
      </c>
      <c r="K48" s="31"/>
      <c r="L48" s="31"/>
      <c r="M48" s="31"/>
      <c r="N48" s="31"/>
      <c r="O48" s="31"/>
      <c r="P48" s="20" t="s">
        <v>161</v>
      </c>
    </row>
    <row r="49" customFormat="false" ht="15" hidden="false" customHeight="false" outlineLevel="0" collapsed="false">
      <c r="B49" s="4" t="s">
        <v>162</v>
      </c>
      <c r="C49" s="17" t="s">
        <v>158</v>
      </c>
      <c r="K49" s="33"/>
      <c r="L49" s="33"/>
      <c r="M49" s="33"/>
      <c r="N49" s="33"/>
      <c r="O49" s="33"/>
      <c r="P49" s="20" t="s">
        <v>163</v>
      </c>
    </row>
    <row r="50" customFormat="false" ht="15" hidden="false" customHeight="false" outlineLevel="0" collapsed="false">
      <c r="B50" s="4" t="s">
        <v>164</v>
      </c>
      <c r="C50" s="17" t="s">
        <v>91</v>
      </c>
      <c r="D50" s="25" t="n">
        <f aca="false">CF!D17/IS!D11</f>
        <v>0.00913169107521223</v>
      </c>
      <c r="E50" s="25" t="n">
        <f aca="false">CF!E17/IS!E11</f>
        <v>0.00739041970156781</v>
      </c>
      <c r="F50" s="25" t="n">
        <f aca="false">CF!F17/IS!F11</f>
        <v>0.00875713616802386</v>
      </c>
      <c r="G50" s="25" t="n">
        <f aca="false">CF!G17/IS!G11</f>
        <v>0.0081259596041221</v>
      </c>
      <c r="H50" s="25" t="n">
        <f aca="false">CF!H17/IS!H11</f>
        <v>0.00785518271771955</v>
      </c>
      <c r="I50" s="25" t="n">
        <f aca="false">CF!I17/IS!I11</f>
        <v>0.00811978478435274</v>
      </c>
      <c r="K50" s="24"/>
      <c r="L50" s="24"/>
      <c r="M50" s="24"/>
      <c r="N50" s="24"/>
      <c r="O50" s="24"/>
      <c r="P50" s="20" t="s">
        <v>165</v>
      </c>
    </row>
    <row r="51" customFormat="false" ht="15" hidden="false" customHeight="false" outlineLevel="0" collapsed="false">
      <c r="B51" s="4" t="s">
        <v>166</v>
      </c>
      <c r="C51" s="17" t="s">
        <v>108</v>
      </c>
      <c r="D51" s="30" t="n">
        <f aca="false">-CF!D41</f>
        <v>13.576</v>
      </c>
      <c r="E51" s="30" t="n">
        <f aca="false">-CF!E41</f>
        <v>12.688</v>
      </c>
      <c r="F51" s="30" t="n">
        <f aca="false">-CF!F41</f>
        <v>17.608</v>
      </c>
      <c r="G51" s="30" t="n">
        <f aca="false">-CF!G41</f>
        <v>19.484</v>
      </c>
      <c r="K51" s="31"/>
      <c r="L51" s="31"/>
      <c r="M51" s="31"/>
      <c r="N51" s="31"/>
      <c r="O51" s="31"/>
      <c r="P51" s="20" t="s">
        <v>167</v>
      </c>
    </row>
    <row r="52" customFormat="false" ht="15" hidden="false" customHeight="false" outlineLevel="0" collapsed="false">
      <c r="B52" s="4" t="s">
        <v>168</v>
      </c>
      <c r="C52" s="17" t="s">
        <v>169</v>
      </c>
      <c r="K52" s="31"/>
      <c r="L52" s="31"/>
      <c r="M52" s="31"/>
      <c r="N52" s="31"/>
      <c r="O52" s="31"/>
      <c r="P52" s="20" t="s">
        <v>170</v>
      </c>
    </row>
    <row r="53" customFormat="false" ht="15" hidden="false" customHeight="false" outlineLevel="0" collapsed="false">
      <c r="B53" s="4" t="s">
        <v>171</v>
      </c>
      <c r="C53" s="17" t="s">
        <v>169</v>
      </c>
      <c r="D53" s="34" t="n">
        <f aca="false">IS!D34-IS!D33</f>
        <v>0.277000000000001</v>
      </c>
      <c r="E53" s="34" t="n">
        <f aca="false">IS!E34-IS!E33</f>
        <v>0.256</v>
      </c>
      <c r="F53" s="34" t="n">
        <f aca="false">IS!F34-IS!F33</f>
        <v>0.259</v>
      </c>
      <c r="G53" s="34" t="n">
        <f aca="false">IS!G34-IS!G33</f>
        <v>0.186999999999998</v>
      </c>
      <c r="H53" s="34" t="n">
        <f aca="false">IS!H34-IS!H33</f>
        <v>0.227000000000004</v>
      </c>
      <c r="I53" s="34" t="n">
        <f aca="false">IS!I34-IS!I33</f>
        <v>0.210000000000008</v>
      </c>
      <c r="K53" s="31"/>
      <c r="L53" s="31"/>
      <c r="M53" s="31"/>
      <c r="N53" s="31"/>
      <c r="O53" s="31"/>
      <c r="P53" s="20" t="s">
        <v>172</v>
      </c>
    </row>
    <row r="54" customFormat="false" ht="15" hidden="false" customHeight="false" outlineLevel="0" collapsed="false">
      <c r="B54" s="4" t="s">
        <v>173</v>
      </c>
      <c r="C54" s="17" t="s">
        <v>108</v>
      </c>
      <c r="K54" s="31"/>
      <c r="L54" s="31"/>
      <c r="M54" s="31"/>
      <c r="N54" s="31"/>
      <c r="O54" s="31"/>
      <c r="P54" s="20" t="s">
        <v>174</v>
      </c>
    </row>
    <row r="55" customFormat="false" ht="15" hidden="false" customHeight="false" outlineLevel="0" collapsed="false">
      <c r="B55" s="4" t="s">
        <v>175</v>
      </c>
      <c r="C55" s="17" t="s">
        <v>91</v>
      </c>
      <c r="K55" s="29"/>
      <c r="L55" s="29"/>
      <c r="M55" s="29"/>
      <c r="N55" s="29"/>
      <c r="O55" s="29"/>
      <c r="P55" s="20" t="s">
        <v>176</v>
      </c>
    </row>
    <row r="56" customFormat="false" ht="15" hidden="false" customHeight="false" outlineLevel="0" collapsed="false">
      <c r="B56" s="4" t="s">
        <v>177</v>
      </c>
      <c r="C56" s="17" t="s">
        <v>91</v>
      </c>
      <c r="K56" s="29"/>
      <c r="L56" s="29"/>
      <c r="M56" s="29"/>
      <c r="N56" s="29"/>
      <c r="O56" s="29"/>
      <c r="P56" s="20" t="s">
        <v>178</v>
      </c>
    </row>
    <row r="58" customFormat="false" ht="15" hidden="false" customHeight="false" outlineLevel="0" collapsed="false">
      <c r="B58" s="6" t="s">
        <v>179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customFormat="false" ht="15" hidden="false" customHeight="false" outlineLevel="0" collapsed="false">
      <c r="B59" s="4" t="s">
        <v>180</v>
      </c>
      <c r="C59" s="17" t="s">
        <v>158</v>
      </c>
      <c r="D59" s="35" t="n">
        <v>161.5</v>
      </c>
      <c r="E59" s="17" t="s">
        <v>181</v>
      </c>
    </row>
    <row r="60" customFormat="false" ht="15" hidden="false" customHeight="false" outlineLevel="0" collapsed="false">
      <c r="B60" s="4" t="s">
        <v>182</v>
      </c>
      <c r="C60" s="17" t="s">
        <v>158</v>
      </c>
      <c r="D60" s="35" t="n">
        <v>216.3</v>
      </c>
      <c r="E60" s="17" t="s">
        <v>183</v>
      </c>
    </row>
    <row r="61" customFormat="false" ht="15" hidden="false" customHeight="false" outlineLevel="0" collapsed="false">
      <c r="B61" s="4" t="s">
        <v>184</v>
      </c>
      <c r="C61" s="17" t="s">
        <v>158</v>
      </c>
      <c r="D61" s="35" t="n">
        <v>153.83</v>
      </c>
      <c r="E61" s="17" t="s">
        <v>183</v>
      </c>
    </row>
    <row r="62" customFormat="false" ht="15" hidden="false" customHeight="false" outlineLevel="0" collapsed="false">
      <c r="B62" s="4" t="s">
        <v>185</v>
      </c>
      <c r="C62" s="17" t="s">
        <v>169</v>
      </c>
      <c r="D62" s="36" t="n">
        <v>65.640926</v>
      </c>
      <c r="E62" s="17" t="s">
        <v>186</v>
      </c>
    </row>
    <row r="63" customFormat="false" ht="15" hidden="false" customHeight="false" outlineLevel="0" collapsed="false">
      <c r="B63" s="4" t="s">
        <v>187</v>
      </c>
      <c r="C63" s="17" t="s">
        <v>169</v>
      </c>
      <c r="D63" s="36" t="n">
        <v>0.224</v>
      </c>
      <c r="E63" s="17" t="s">
        <v>188</v>
      </c>
    </row>
    <row r="64" customFormat="false" ht="15" hidden="false" customHeight="false" outlineLevel="0" collapsed="false">
      <c r="B64" s="4" t="s">
        <v>189</v>
      </c>
      <c r="C64" s="17" t="s">
        <v>108</v>
      </c>
      <c r="D64" s="36" t="n">
        <v>202.427</v>
      </c>
      <c r="E64" s="17" t="s">
        <v>190</v>
      </c>
    </row>
    <row r="65" customFormat="false" ht="15" hidden="false" customHeight="false" outlineLevel="0" collapsed="false">
      <c r="B65" s="4" t="s">
        <v>191</v>
      </c>
      <c r="C65" s="17" t="s">
        <v>108</v>
      </c>
      <c r="D65" s="36" t="n">
        <v>52.7</v>
      </c>
      <c r="E65" s="17" t="s">
        <v>192</v>
      </c>
    </row>
    <row r="66" customFormat="false" ht="15" hidden="false" customHeight="false" outlineLevel="0" collapsed="false">
      <c r="B66" s="4" t="s">
        <v>193</v>
      </c>
      <c r="C66" s="17" t="s">
        <v>108</v>
      </c>
      <c r="D66" s="36" t="n">
        <v>-21.242</v>
      </c>
      <c r="E66" s="17" t="s">
        <v>194</v>
      </c>
    </row>
    <row r="67" customFormat="false" ht="15" hidden="false" customHeight="false" outlineLevel="0" collapsed="false">
      <c r="B67" s="4" t="s">
        <v>195</v>
      </c>
      <c r="C67" s="17" t="s">
        <v>158</v>
      </c>
      <c r="D67" s="35" t="n">
        <v>0.75</v>
      </c>
      <c r="E67" s="17" t="s">
        <v>196</v>
      </c>
    </row>
    <row r="68" customFormat="false" ht="15" hidden="false" customHeight="false" outlineLevel="0" collapsed="false">
      <c r="B68" s="4" t="s">
        <v>197</v>
      </c>
      <c r="C68" s="17" t="s">
        <v>91</v>
      </c>
      <c r="D68" s="37" t="n">
        <v>0.0524</v>
      </c>
      <c r="E68" s="17" t="s">
        <v>198</v>
      </c>
    </row>
    <row r="69" customFormat="false" ht="15" hidden="false" customHeight="false" outlineLevel="0" collapsed="false">
      <c r="B69" s="4" t="s">
        <v>199</v>
      </c>
      <c r="C69" s="17" t="s">
        <v>91</v>
      </c>
      <c r="D69" s="37" t="n">
        <v>0.042</v>
      </c>
      <c r="E69" s="17" t="s">
        <v>200</v>
      </c>
    </row>
    <row r="70" customFormat="false" ht="15" hidden="false" customHeight="false" outlineLevel="0" collapsed="false">
      <c r="B70" s="4" t="s">
        <v>201</v>
      </c>
      <c r="C70" s="17" t="s">
        <v>91</v>
      </c>
      <c r="D70" s="37" t="n">
        <v>0.05</v>
      </c>
      <c r="E70" s="17" t="s">
        <v>202</v>
      </c>
    </row>
    <row r="71" customFormat="false" ht="15" hidden="false" customHeight="false" outlineLevel="0" collapsed="false">
      <c r="B71" s="4" t="s">
        <v>203</v>
      </c>
      <c r="C71" s="17" t="s">
        <v>91</v>
      </c>
      <c r="D71" s="38" t="n">
        <v>0.25</v>
      </c>
      <c r="E71" s="17" t="s">
        <v>204</v>
      </c>
    </row>
    <row r="72" customFormat="false" ht="15" hidden="false" customHeight="false" outlineLevel="0" collapsed="false">
      <c r="B72" s="4" t="s">
        <v>205</v>
      </c>
      <c r="C72" s="17" t="s">
        <v>91</v>
      </c>
      <c r="D72" s="29"/>
      <c r="E72" s="17" t="s">
        <v>206</v>
      </c>
    </row>
    <row r="73" customFormat="false" ht="15" hidden="false" customHeight="false" outlineLevel="0" collapsed="false">
      <c r="B73" s="4" t="s">
        <v>207</v>
      </c>
      <c r="C73" s="17" t="s">
        <v>88</v>
      </c>
      <c r="D73" s="39"/>
      <c r="E73" s="17" t="s">
        <v>206</v>
      </c>
    </row>
    <row r="74" customFormat="false" ht="15" hidden="false" customHeight="false" outlineLevel="0" collapsed="false">
      <c r="B74" s="4" t="s">
        <v>208</v>
      </c>
      <c r="C74" s="17" t="s">
        <v>91</v>
      </c>
      <c r="D74" s="37" t="n">
        <v>0.04</v>
      </c>
      <c r="E74" s="17" t="s">
        <v>209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210</v>
      </c>
    </row>
    <row r="2" customFormat="false" ht="15" hidden="false" customHeight="false" outlineLevel="0" collapsed="false">
      <c r="B2" s="10" t="s">
        <v>211</v>
      </c>
    </row>
    <row r="4" customFormat="false" ht="15" hidden="false" customHeight="false" outlineLevel="0" collapsed="false">
      <c r="B4" s="11" t="s">
        <v>65</v>
      </c>
      <c r="C4" s="11" t="s">
        <v>12</v>
      </c>
      <c r="D4" s="12" t="s">
        <v>66</v>
      </c>
      <c r="E4" s="12" t="s">
        <v>67</v>
      </c>
      <c r="F4" s="12" t="s">
        <v>68</v>
      </c>
      <c r="G4" s="12" t="s">
        <v>69</v>
      </c>
      <c r="H4" s="12" t="s">
        <v>70</v>
      </c>
      <c r="I4" s="12" t="s">
        <v>71</v>
      </c>
      <c r="J4" s="12" t="s">
        <v>72</v>
      </c>
      <c r="K4" s="12" t="s">
        <v>73</v>
      </c>
      <c r="L4" s="12" t="s">
        <v>74</v>
      </c>
      <c r="M4" s="12" t="s">
        <v>75</v>
      </c>
      <c r="N4" s="12" t="s">
        <v>76</v>
      </c>
      <c r="O4" s="12" t="s">
        <v>77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D5" s="15" t="n">
        <v>44922</v>
      </c>
      <c r="E5" s="15" t="n">
        <v>45286</v>
      </c>
      <c r="F5" s="15" t="n">
        <v>45657</v>
      </c>
      <c r="G5" s="15" t="n">
        <v>46021</v>
      </c>
      <c r="H5" s="15" t="n">
        <v>45839</v>
      </c>
      <c r="I5" s="15" t="n">
        <v>46203</v>
      </c>
      <c r="J5" s="15" t="n">
        <v>46203</v>
      </c>
      <c r="K5" s="15" t="n">
        <v>46385</v>
      </c>
      <c r="L5" s="15" t="n">
        <v>46749</v>
      </c>
      <c r="M5" s="15" t="n">
        <v>47113</v>
      </c>
      <c r="N5" s="15" t="n">
        <v>47477</v>
      </c>
      <c r="O5" s="15" t="n">
        <v>47848</v>
      </c>
      <c r="P5" s="14"/>
    </row>
    <row r="6" customFormat="false" ht="15" hidden="false" customHeight="false" outlineLevel="0" collapsed="false">
      <c r="B6" s="13" t="s">
        <v>80</v>
      </c>
      <c r="C6" s="14"/>
      <c r="D6" s="16" t="n">
        <v>52</v>
      </c>
      <c r="E6" s="16" t="n">
        <v>52</v>
      </c>
      <c r="F6" s="16" t="n">
        <v>53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53</v>
      </c>
      <c r="P6" s="14"/>
    </row>
    <row r="8" customFormat="false" ht="15" hidden="false" customHeight="false" outlineLevel="0" collapsed="false">
      <c r="B8" s="6" t="s">
        <v>212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213</v>
      </c>
      <c r="C9" s="17" t="s">
        <v>83</v>
      </c>
      <c r="D9" s="40" t="n">
        <v>566</v>
      </c>
      <c r="E9" s="41" t="n">
        <f aca="false">D12</f>
        <v>597</v>
      </c>
      <c r="F9" s="41" t="n">
        <f aca="false">E12</f>
        <v>635</v>
      </c>
      <c r="G9" s="41" t="n">
        <f aca="false">F12</f>
        <v>666</v>
      </c>
      <c r="H9" s="40" t="n">
        <v>666</v>
      </c>
      <c r="I9" s="40" t="n">
        <v>714</v>
      </c>
      <c r="K9" s="19"/>
      <c r="L9" s="19"/>
      <c r="M9" s="19"/>
      <c r="N9" s="19"/>
      <c r="O9" s="19"/>
      <c r="P9" s="20" t="s">
        <v>214</v>
      </c>
    </row>
    <row r="10" customFormat="false" ht="15" hidden="false" customHeight="false" outlineLevel="0" collapsed="false">
      <c r="B10" s="4" t="s">
        <v>215</v>
      </c>
      <c r="C10" s="17" t="s">
        <v>83</v>
      </c>
      <c r="D10" s="40" t="n">
        <v>23</v>
      </c>
      <c r="E10" s="40" t="n">
        <v>30</v>
      </c>
      <c r="F10" s="40" t="n">
        <v>31</v>
      </c>
      <c r="G10" s="40" t="n">
        <v>28</v>
      </c>
      <c r="H10" s="40" t="n">
        <v>12</v>
      </c>
      <c r="I10" s="40" t="n">
        <v>13</v>
      </c>
      <c r="K10" s="19"/>
      <c r="L10" s="19"/>
      <c r="M10" s="19"/>
      <c r="N10" s="19"/>
      <c r="O10" s="19"/>
      <c r="P10" s="20" t="s">
        <v>216</v>
      </c>
    </row>
    <row r="11" customFormat="false" ht="15" hidden="false" customHeight="false" outlineLevel="0" collapsed="false">
      <c r="B11" s="4" t="s">
        <v>217</v>
      </c>
      <c r="C11" s="17" t="s">
        <v>83</v>
      </c>
      <c r="D11" s="41" t="n">
        <f aca="false">D12-D9-D10</f>
        <v>8</v>
      </c>
      <c r="E11" s="41" t="n">
        <f aca="false">E12-E9-E10</f>
        <v>8</v>
      </c>
      <c r="F11" s="41" t="n">
        <f aca="false">F12-F9-F10</f>
        <v>0</v>
      </c>
      <c r="G11" s="41" t="n">
        <f aca="false">G12-G9-G10</f>
        <v>20</v>
      </c>
      <c r="H11" s="40" t="n">
        <v>17</v>
      </c>
      <c r="I11" s="40" t="n">
        <v>5</v>
      </c>
      <c r="K11" s="19"/>
      <c r="L11" s="19"/>
      <c r="M11" s="19"/>
      <c r="N11" s="19"/>
      <c r="O11" s="19"/>
      <c r="P11" s="20" t="s">
        <v>218</v>
      </c>
    </row>
    <row r="12" customFormat="false" ht="15" hidden="false" customHeight="false" outlineLevel="0" collapsed="false">
      <c r="B12" s="42" t="s">
        <v>219</v>
      </c>
      <c r="C12" s="43" t="s">
        <v>83</v>
      </c>
      <c r="D12" s="44" t="n">
        <v>597</v>
      </c>
      <c r="E12" s="44" t="n">
        <v>635</v>
      </c>
      <c r="F12" s="44" t="n">
        <v>666</v>
      </c>
      <c r="G12" s="44" t="n">
        <v>714</v>
      </c>
      <c r="H12" s="44" t="n">
        <v>695</v>
      </c>
      <c r="I12" s="44" t="n">
        <v>732</v>
      </c>
      <c r="J12" s="45"/>
      <c r="K12" s="46"/>
      <c r="L12" s="46"/>
      <c r="M12" s="46"/>
      <c r="N12" s="46"/>
      <c r="O12" s="46"/>
      <c r="P12" s="20" t="s">
        <v>220</v>
      </c>
    </row>
    <row r="13" customFormat="false" ht="15" hidden="false" customHeight="false" outlineLevel="0" collapsed="false">
      <c r="B13" s="4" t="s">
        <v>221</v>
      </c>
      <c r="C13" s="17" t="s">
        <v>83</v>
      </c>
      <c r="D13" s="40" t="n">
        <v>100</v>
      </c>
      <c r="E13" s="40" t="n">
        <v>106</v>
      </c>
      <c r="F13" s="40" t="n">
        <v>118</v>
      </c>
      <c r="G13" s="40" t="n">
        <v>102</v>
      </c>
      <c r="H13" s="40" t="n">
        <v>102</v>
      </c>
      <c r="I13" s="40" t="n">
        <v>100</v>
      </c>
      <c r="P13" s="20" t="s">
        <v>222</v>
      </c>
    </row>
    <row r="14" customFormat="false" ht="15" hidden="false" customHeight="false" outlineLevel="0" collapsed="false">
      <c r="B14" s="4" t="s">
        <v>223</v>
      </c>
      <c r="C14" s="17" t="s">
        <v>83</v>
      </c>
      <c r="D14" s="34" t="n">
        <f aca="false">(D9+D12)/2</f>
        <v>581.5</v>
      </c>
      <c r="E14" s="34" t="n">
        <f aca="false">(E9+E12)/2</f>
        <v>616</v>
      </c>
      <c r="F14" s="34" t="n">
        <f aca="false">(F9+F12)/2</f>
        <v>650.5</v>
      </c>
      <c r="G14" s="34" t="n">
        <f aca="false">(G9+G12)/2</f>
        <v>690</v>
      </c>
      <c r="K14" s="31"/>
      <c r="L14" s="31"/>
      <c r="M14" s="31"/>
      <c r="N14" s="31"/>
      <c r="O14" s="31"/>
    </row>
    <row r="15" customFormat="false" ht="15" hidden="false" customHeight="false" outlineLevel="0" collapsed="false">
      <c r="B15" s="4" t="s">
        <v>224</v>
      </c>
      <c r="C15" s="17" t="s">
        <v>225</v>
      </c>
      <c r="D15" s="18" t="n">
        <f aca="false">IS!D6</f>
        <v>52</v>
      </c>
      <c r="E15" s="18" t="n">
        <f aca="false">IS!E6</f>
        <v>52</v>
      </c>
      <c r="F15" s="18" t="n">
        <f aca="false">IS!F6</f>
        <v>53</v>
      </c>
      <c r="G15" s="18" t="n">
        <f aca="false">IS!G6</f>
        <v>52</v>
      </c>
      <c r="H15" s="18" t="n">
        <f aca="false">IS!H6</f>
        <v>26</v>
      </c>
      <c r="I15" s="18" t="n">
        <f aca="false">IS!I6</f>
        <v>26</v>
      </c>
      <c r="K15" s="18" t="n">
        <f aca="false">IS!K6</f>
        <v>52</v>
      </c>
      <c r="L15" s="18" t="n">
        <f aca="false">IS!L6</f>
        <v>52</v>
      </c>
      <c r="M15" s="18" t="n">
        <f aca="false">IS!M6</f>
        <v>52</v>
      </c>
      <c r="N15" s="18" t="n">
        <f aca="false">IS!N6</f>
        <v>52</v>
      </c>
      <c r="O15" s="18" t="n">
        <f aca="false">IS!O6</f>
        <v>53</v>
      </c>
      <c r="P15" s="20" t="s">
        <v>226</v>
      </c>
    </row>
    <row r="17" customFormat="false" ht="15" hidden="false" customHeight="false" outlineLevel="0" collapsed="false">
      <c r="B17" s="6" t="s">
        <v>227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customFormat="false" ht="15" hidden="false" customHeight="false" outlineLevel="0" collapsed="false">
      <c r="B18" s="4" t="s">
        <v>228</v>
      </c>
      <c r="C18" s="17" t="s">
        <v>225</v>
      </c>
      <c r="D18" s="40" t="n">
        <v>30284</v>
      </c>
      <c r="E18" s="40" t="n">
        <v>32050</v>
      </c>
      <c r="F18" s="40" t="n">
        <v>34464</v>
      </c>
      <c r="G18" s="40" t="n">
        <v>36178</v>
      </c>
      <c r="K18" s="19"/>
      <c r="L18" s="19"/>
      <c r="M18" s="19"/>
      <c r="N18" s="19"/>
      <c r="O18" s="19"/>
      <c r="P18" s="20" t="s">
        <v>229</v>
      </c>
    </row>
    <row r="19" customFormat="false" ht="15" hidden="false" customHeight="false" outlineLevel="0" collapsed="false">
      <c r="B19" s="4" t="s">
        <v>230</v>
      </c>
      <c r="C19" s="17" t="s">
        <v>91</v>
      </c>
      <c r="E19" s="25" t="n">
        <f aca="false">E18/D18-1</f>
        <v>0.0583146215823538</v>
      </c>
      <c r="F19" s="25" t="n">
        <f aca="false">F18/E18-1</f>
        <v>0.0753198127925117</v>
      </c>
      <c r="G19" s="25" t="n">
        <f aca="false">G18/F18-1</f>
        <v>0.0497330547818013</v>
      </c>
      <c r="K19" s="24"/>
      <c r="L19" s="24"/>
      <c r="M19" s="24"/>
      <c r="N19" s="24"/>
      <c r="O19" s="24"/>
      <c r="P19" s="20" t="s">
        <v>231</v>
      </c>
    </row>
    <row r="20" customFormat="false" ht="15" hidden="false" customHeight="false" outlineLevel="0" collapsed="false">
      <c r="B20" s="4" t="s">
        <v>232</v>
      </c>
      <c r="C20" s="17" t="s">
        <v>88</v>
      </c>
      <c r="D20" s="47" t="n">
        <f aca="false">D18/(D14*D15)</f>
        <v>1.0015212646339</v>
      </c>
      <c r="E20" s="47" t="n">
        <f aca="false">E18/(E14*E15)</f>
        <v>1.00056193806194</v>
      </c>
      <c r="F20" s="47" t="n">
        <f aca="false">F18/(F14*F15)</f>
        <v>0.999637434194306</v>
      </c>
      <c r="G20" s="47" t="n">
        <f aca="false">G18/(G14*G15)</f>
        <v>1.00830546265329</v>
      </c>
      <c r="K20" s="22"/>
      <c r="L20" s="22"/>
      <c r="M20" s="22"/>
      <c r="N20" s="22"/>
      <c r="O20" s="22"/>
    </row>
    <row r="21" customFormat="false" ht="15" hidden="false" customHeight="false" outlineLevel="0" collapsed="false">
      <c r="B21" s="4" t="s">
        <v>233</v>
      </c>
      <c r="C21" s="17" t="s">
        <v>234</v>
      </c>
      <c r="D21" s="34" t="n">
        <f aca="false">IS!D9/D18*1000</f>
        <v>131.712818650112</v>
      </c>
      <c r="E21" s="34" t="n">
        <f aca="false">IS!E9/E18*1000</f>
        <v>143.667831513261</v>
      </c>
      <c r="F21" s="34" t="n">
        <f aca="false">IS!F9/F18*1000</f>
        <v>154.998055942433</v>
      </c>
      <c r="G21" s="34" t="n">
        <f aca="false">IS!G9/G18*1000</f>
        <v>161.624025650948</v>
      </c>
      <c r="K21" s="31"/>
      <c r="L21" s="31"/>
      <c r="M21" s="31"/>
      <c r="N21" s="31"/>
      <c r="O21" s="31"/>
      <c r="P21" s="20" t="s">
        <v>235</v>
      </c>
    </row>
    <row r="22" customFormat="false" ht="15" hidden="false" customHeight="false" outlineLevel="0" collapsed="false">
      <c r="B22" s="4" t="s">
        <v>236</v>
      </c>
      <c r="C22" s="17" t="s">
        <v>91</v>
      </c>
      <c r="E22" s="25" t="n">
        <f aca="false">E21/D21-1</f>
        <v>0.0907657507118278</v>
      </c>
      <c r="F22" s="25" t="n">
        <f aca="false">F21/E21-1</f>
        <v>0.0788640317726681</v>
      </c>
      <c r="G22" s="25" t="n">
        <f aca="false">G21/F21-1</f>
        <v>0.042748727835505</v>
      </c>
      <c r="K22" s="24"/>
      <c r="L22" s="24"/>
      <c r="M22" s="24"/>
      <c r="N22" s="24"/>
      <c r="O22" s="24"/>
    </row>
    <row r="23" customFormat="false" ht="15" hidden="false" customHeight="false" outlineLevel="0" collapsed="false">
      <c r="B23" s="42" t="s">
        <v>237</v>
      </c>
      <c r="C23" s="43" t="s">
        <v>108</v>
      </c>
      <c r="D23" s="48" t="n">
        <f aca="false">IS!D9</f>
        <v>3988.791</v>
      </c>
      <c r="E23" s="48" t="n">
        <f aca="false">IS!E9</f>
        <v>4604.554</v>
      </c>
      <c r="F23" s="48" t="n">
        <f aca="false">IS!F9</f>
        <v>5341.853</v>
      </c>
      <c r="G23" s="48" t="n">
        <f aca="false">IS!G9</f>
        <v>5847.234</v>
      </c>
      <c r="H23" s="48" t="n">
        <f aca="false">IS!H9</f>
        <v>2944.316</v>
      </c>
      <c r="I23" s="48" t="n">
        <f aca="false">IS!I9</f>
        <v>3299.602</v>
      </c>
      <c r="J23" s="45"/>
      <c r="K23" s="49"/>
      <c r="L23" s="49"/>
      <c r="M23" s="49"/>
      <c r="N23" s="49"/>
      <c r="O23" s="49"/>
    </row>
    <row r="24" customFormat="false" ht="15" hidden="false" customHeight="false" outlineLevel="0" collapsed="false">
      <c r="B24" s="4" t="s">
        <v>238</v>
      </c>
      <c r="C24" s="17" t="s">
        <v>108</v>
      </c>
      <c r="D24" s="30" t="n">
        <f aca="false">IS!D10</f>
        <v>26.128</v>
      </c>
      <c r="E24" s="30" t="n">
        <f aca="false">IS!E10</f>
        <v>27.118</v>
      </c>
      <c r="F24" s="30" t="n">
        <f aca="false">IS!F10</f>
        <v>31.479</v>
      </c>
      <c r="G24" s="30" t="n">
        <f aca="false">IS!G10</f>
        <v>30.841</v>
      </c>
      <c r="H24" s="30" t="n">
        <f aca="false">IS!H10</f>
        <v>15.386</v>
      </c>
      <c r="I24" s="30" t="n">
        <f aca="false">IS!I10</f>
        <v>13.54</v>
      </c>
      <c r="K24" s="31"/>
      <c r="L24" s="31"/>
      <c r="M24" s="31"/>
      <c r="N24" s="31"/>
      <c r="O24" s="31"/>
      <c r="P24" s="20" t="s">
        <v>239</v>
      </c>
    </row>
    <row r="25" customFormat="false" ht="15" hidden="false" customHeight="false" outlineLevel="0" collapsed="false">
      <c r="B25" s="4" t="s">
        <v>240</v>
      </c>
      <c r="C25" s="17" t="s">
        <v>91</v>
      </c>
      <c r="E25" s="25" t="n">
        <f aca="false">E24/D24*D15/E15-1</f>
        <v>0.0378903857930188</v>
      </c>
      <c r="F25" s="25" t="n">
        <f aca="false">F24/E24*E15/F15-1</f>
        <v>0.138913511460048</v>
      </c>
      <c r="G25" s="25" t="n">
        <f aca="false">G24/F24*F15/G15-1</f>
        <v>-0.00142646990545581</v>
      </c>
    </row>
    <row r="27" customFormat="false" ht="15" hidden="false" customHeight="false" outlineLevel="0" collapsed="false">
      <c r="B27" s="6" t="s">
        <v>241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customFormat="false" ht="15" hidden="false" customHeight="false" outlineLevel="0" collapsed="false">
      <c r="B28" s="4" t="s">
        <v>242</v>
      </c>
      <c r="C28" s="17" t="s">
        <v>91</v>
      </c>
      <c r="D28" s="38" t="n">
        <v>0.097</v>
      </c>
      <c r="E28" s="38" t="n">
        <v>0.101</v>
      </c>
      <c r="F28" s="38" t="n">
        <v>0.085</v>
      </c>
      <c r="G28" s="38" t="n">
        <v>0.049</v>
      </c>
      <c r="I28" s="38" t="n">
        <v>0.067</v>
      </c>
      <c r="P28" s="20" t="s">
        <v>243</v>
      </c>
    </row>
    <row r="29" customFormat="false" ht="15" hidden="false" customHeight="false" outlineLevel="0" collapsed="false">
      <c r="B29" s="4" t="s">
        <v>244</v>
      </c>
      <c r="C29" s="17" t="s">
        <v>91</v>
      </c>
      <c r="D29" s="38" t="n">
        <v>0.019</v>
      </c>
      <c r="E29" s="38" t="n">
        <v>0.054</v>
      </c>
      <c r="F29" s="38" t="n">
        <v>0.044</v>
      </c>
      <c r="G29" s="38" t="n">
        <v>0.028</v>
      </c>
      <c r="P29" s="20" t="s">
        <v>245</v>
      </c>
    </row>
    <row r="30" customFormat="false" ht="15" hidden="false" customHeight="false" outlineLevel="0" collapsed="false">
      <c r="B30" s="4" t="s">
        <v>246</v>
      </c>
      <c r="C30" s="17" t="s">
        <v>91</v>
      </c>
      <c r="D30" s="38" t="n">
        <v>0.078</v>
      </c>
      <c r="E30" s="38" t="n">
        <v>0.047</v>
      </c>
      <c r="F30" s="38" t="n">
        <v>0.041</v>
      </c>
      <c r="G30" s="38" t="n">
        <v>0.021</v>
      </c>
    </row>
    <row r="31" customFormat="false" ht="15" hidden="false" customHeight="false" outlineLevel="0" collapsed="false">
      <c r="B31" s="4" t="s">
        <v>247</v>
      </c>
      <c r="C31" s="17" t="s">
        <v>248</v>
      </c>
      <c r="F31" s="40" t="n">
        <v>155285</v>
      </c>
      <c r="G31" s="40" t="n">
        <v>161918</v>
      </c>
      <c r="H31" s="40" t="n">
        <v>165228</v>
      </c>
      <c r="I31" s="40" t="n">
        <v>175708</v>
      </c>
      <c r="P31" s="20" t="s">
        <v>249</v>
      </c>
    </row>
    <row r="33" customFormat="false" ht="15" hidden="false" customHeight="false" outlineLevel="0" collapsed="false">
      <c r="B33" s="6" t="s">
        <v>250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customFormat="false" ht="15" hidden="false" customHeight="false" outlineLevel="0" collapsed="false">
      <c r="B34" s="4" t="s">
        <v>251</v>
      </c>
      <c r="C34" s="17" t="s">
        <v>108</v>
      </c>
      <c r="D34" s="36" t="n">
        <v>139.21</v>
      </c>
      <c r="E34" s="36" t="n">
        <v>201.234</v>
      </c>
      <c r="F34" s="36" t="n">
        <v>198.367</v>
      </c>
      <c r="G34" s="36" t="n">
        <v>180.783</v>
      </c>
      <c r="K34" s="31"/>
      <c r="L34" s="31"/>
      <c r="M34" s="31"/>
      <c r="N34" s="31"/>
      <c r="O34" s="31"/>
      <c r="P34" s="20" t="s">
        <v>252</v>
      </c>
    </row>
    <row r="35" customFormat="false" ht="15" hidden="false" customHeight="false" outlineLevel="0" collapsed="false">
      <c r="B35" s="4" t="s">
        <v>253</v>
      </c>
      <c r="C35" s="17" t="s">
        <v>108</v>
      </c>
      <c r="D35" s="36" t="n">
        <v>84.414</v>
      </c>
      <c r="E35" s="36" t="n">
        <v>119.785</v>
      </c>
      <c r="F35" s="36" t="n">
        <v>122.905</v>
      </c>
      <c r="G35" s="36" t="n">
        <v>135.817</v>
      </c>
      <c r="K35" s="31"/>
      <c r="L35" s="31"/>
      <c r="M35" s="31"/>
      <c r="N35" s="31"/>
      <c r="O35" s="31"/>
    </row>
    <row r="36" customFormat="false" ht="15" hidden="false" customHeight="false" outlineLevel="0" collapsed="false">
      <c r="B36" s="4" t="s">
        <v>254</v>
      </c>
      <c r="C36" s="17" t="s">
        <v>108</v>
      </c>
      <c r="D36" s="36" t="n">
        <v>18.478</v>
      </c>
      <c r="E36" s="36" t="n">
        <v>20.629</v>
      </c>
      <c r="F36" s="36" t="n">
        <v>25.633</v>
      </c>
      <c r="G36" s="36" t="n">
        <v>43.626</v>
      </c>
      <c r="K36" s="31"/>
      <c r="L36" s="31"/>
      <c r="M36" s="31"/>
      <c r="N36" s="31"/>
      <c r="O36" s="31"/>
      <c r="P36" s="20" t="s">
        <v>255</v>
      </c>
    </row>
    <row r="37" customFormat="false" ht="15" hidden="false" customHeight="false" outlineLevel="0" collapsed="false">
      <c r="B37" s="4" t="s">
        <v>256</v>
      </c>
      <c r="C37" s="17" t="s">
        <v>108</v>
      </c>
      <c r="D37" s="36" t="n">
        <v>4.019</v>
      </c>
      <c r="E37" s="36" t="n">
        <v>5.386</v>
      </c>
      <c r="F37" s="36" t="n">
        <v>7.436</v>
      </c>
      <c r="G37" s="36" t="n">
        <v>27.77</v>
      </c>
      <c r="K37" s="31"/>
      <c r="L37" s="31"/>
      <c r="M37" s="31"/>
      <c r="N37" s="31"/>
      <c r="O37" s="31"/>
    </row>
    <row r="38" customFormat="false" ht="15" hidden="false" customHeight="false" outlineLevel="0" collapsed="false">
      <c r="B38" s="42" t="s">
        <v>257</v>
      </c>
      <c r="C38" s="43" t="s">
        <v>108</v>
      </c>
      <c r="D38" s="50" t="n">
        <f aca="false">SUM(D34:D37)</f>
        <v>246.121</v>
      </c>
      <c r="E38" s="50" t="n">
        <f aca="false">SUM(E34:E37)</f>
        <v>347.034</v>
      </c>
      <c r="F38" s="50" t="n">
        <f aca="false">SUM(F34:F37)</f>
        <v>354.341</v>
      </c>
      <c r="G38" s="50" t="n">
        <f aca="false">SUM(G34:G37)</f>
        <v>387.996</v>
      </c>
      <c r="H38" s="45"/>
      <c r="I38" s="45"/>
      <c r="J38" s="45"/>
      <c r="K38" s="49"/>
      <c r="L38" s="49"/>
      <c r="M38" s="49"/>
      <c r="N38" s="49"/>
      <c r="O38" s="49"/>
      <c r="P38" s="20" t="s">
        <v>258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259</v>
      </c>
    </row>
    <row r="2" customFormat="false" ht="15" hidden="false" customHeight="false" outlineLevel="0" collapsed="false">
      <c r="B2" s="10" t="s">
        <v>260</v>
      </c>
    </row>
    <row r="4" customFormat="false" ht="15" hidden="false" customHeight="false" outlineLevel="0" collapsed="false">
      <c r="B4" s="11" t="s">
        <v>65</v>
      </c>
      <c r="C4" s="11" t="s">
        <v>12</v>
      </c>
      <c r="D4" s="12" t="s">
        <v>66</v>
      </c>
      <c r="E4" s="12" t="s">
        <v>67</v>
      </c>
      <c r="F4" s="12" t="s">
        <v>68</v>
      </c>
      <c r="G4" s="12" t="s">
        <v>69</v>
      </c>
      <c r="H4" s="12" t="s">
        <v>70</v>
      </c>
      <c r="I4" s="12" t="s">
        <v>71</v>
      </c>
      <c r="J4" s="12" t="s">
        <v>72</v>
      </c>
      <c r="K4" s="12" t="s">
        <v>73</v>
      </c>
      <c r="L4" s="12" t="s">
        <v>74</v>
      </c>
      <c r="M4" s="12" t="s">
        <v>75</v>
      </c>
      <c r="N4" s="12" t="s">
        <v>76</v>
      </c>
      <c r="O4" s="12" t="s">
        <v>77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D5" s="15" t="n">
        <v>44922</v>
      </c>
      <c r="E5" s="15" t="n">
        <v>45286</v>
      </c>
      <c r="F5" s="15" t="n">
        <v>45657</v>
      </c>
      <c r="G5" s="15" t="n">
        <v>46021</v>
      </c>
      <c r="H5" s="15" t="n">
        <v>45839</v>
      </c>
      <c r="I5" s="15" t="n">
        <v>46203</v>
      </c>
      <c r="J5" s="15" t="n">
        <v>46203</v>
      </c>
      <c r="K5" s="15" t="n">
        <v>46385</v>
      </c>
      <c r="L5" s="15" t="n">
        <v>46749</v>
      </c>
      <c r="M5" s="15" t="n">
        <v>47113</v>
      </c>
      <c r="N5" s="15" t="n">
        <v>47477</v>
      </c>
      <c r="O5" s="15" t="n">
        <v>47848</v>
      </c>
      <c r="P5" s="14"/>
    </row>
    <row r="6" customFormat="false" ht="15" hidden="false" customHeight="false" outlineLevel="0" collapsed="false">
      <c r="B6" s="13" t="s">
        <v>80</v>
      </c>
      <c r="C6" s="14"/>
      <c r="D6" s="16" t="n">
        <v>52</v>
      </c>
      <c r="E6" s="16" t="n">
        <v>52</v>
      </c>
      <c r="F6" s="16" t="n">
        <v>53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53</v>
      </c>
      <c r="P6" s="14"/>
    </row>
    <row r="8" customFormat="false" ht="15" hidden="false" customHeight="false" outlineLevel="0" collapsed="false">
      <c r="B8" s="6" t="s">
        <v>261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237</v>
      </c>
      <c r="C9" s="17" t="s">
        <v>108</v>
      </c>
      <c r="D9" s="36" t="n">
        <v>3988.791</v>
      </c>
      <c r="E9" s="36" t="n">
        <v>4604.554</v>
      </c>
      <c r="F9" s="36" t="n">
        <v>5341.853</v>
      </c>
      <c r="G9" s="36" t="n">
        <v>5847.234</v>
      </c>
      <c r="H9" s="36" t="n">
        <v>2944.316</v>
      </c>
      <c r="I9" s="36" t="n">
        <v>3299.602</v>
      </c>
      <c r="J9" s="34" t="n">
        <f aca="false">G9+I9-H9</f>
        <v>6202.52</v>
      </c>
      <c r="K9" s="31"/>
      <c r="L9" s="31"/>
      <c r="M9" s="31"/>
      <c r="N9" s="31"/>
      <c r="O9" s="31"/>
      <c r="P9" s="20" t="s">
        <v>262</v>
      </c>
    </row>
    <row r="10" customFormat="false" ht="15" hidden="false" customHeight="false" outlineLevel="0" collapsed="false">
      <c r="B10" s="4" t="s">
        <v>238</v>
      </c>
      <c r="C10" s="17" t="s">
        <v>108</v>
      </c>
      <c r="D10" s="36" t="n">
        <v>26.128</v>
      </c>
      <c r="E10" s="36" t="n">
        <v>27.118</v>
      </c>
      <c r="F10" s="36" t="n">
        <v>31.479</v>
      </c>
      <c r="G10" s="36" t="n">
        <v>30.841</v>
      </c>
      <c r="H10" s="36" t="n">
        <v>15.386</v>
      </c>
      <c r="I10" s="36" t="n">
        <v>13.54</v>
      </c>
      <c r="J10" s="34" t="n">
        <f aca="false">G10+I10-H10</f>
        <v>28.995</v>
      </c>
      <c r="K10" s="31"/>
      <c r="L10" s="31"/>
      <c r="M10" s="31"/>
      <c r="N10" s="31"/>
      <c r="O10" s="31"/>
    </row>
    <row r="11" customFormat="false" ht="15" hidden="false" customHeight="false" outlineLevel="0" collapsed="false">
      <c r="B11" s="42" t="s">
        <v>263</v>
      </c>
      <c r="C11" s="43" t="s">
        <v>108</v>
      </c>
      <c r="D11" s="50" t="n">
        <f aca="false">D9+D10</f>
        <v>4014.919</v>
      </c>
      <c r="E11" s="50" t="n">
        <f aca="false">E9+E10</f>
        <v>4631.672</v>
      </c>
      <c r="F11" s="50" t="n">
        <f aca="false">F9+F10</f>
        <v>5373.332</v>
      </c>
      <c r="G11" s="50" t="n">
        <f aca="false">G9+G10</f>
        <v>5878.075</v>
      </c>
      <c r="H11" s="50" t="n">
        <f aca="false">H9+H10</f>
        <v>2959.702</v>
      </c>
      <c r="I11" s="50" t="n">
        <f aca="false">I9+I10</f>
        <v>3313.142</v>
      </c>
      <c r="J11" s="50" t="n">
        <f aca="false">J9+J10</f>
        <v>6231.515</v>
      </c>
      <c r="K11" s="49"/>
      <c r="L11" s="49"/>
      <c r="M11" s="49"/>
      <c r="N11" s="49"/>
      <c r="O11" s="49"/>
    </row>
    <row r="12" customFormat="false" ht="15" hidden="false" customHeight="false" outlineLevel="0" collapsed="false">
      <c r="B12" s="4" t="s">
        <v>236</v>
      </c>
      <c r="C12" s="17" t="s">
        <v>91</v>
      </c>
      <c r="E12" s="25" t="n">
        <f aca="false">E11/D11-1</f>
        <v>0.153615303322433</v>
      </c>
      <c r="F12" s="25" t="n">
        <f aca="false">F11/E11-1</f>
        <v>0.160127919248168</v>
      </c>
      <c r="G12" s="25" t="n">
        <f aca="false">G11/F11-1</f>
        <v>0.0939348247977234</v>
      </c>
      <c r="I12" s="25" t="n">
        <f aca="false">I11/H11-1</f>
        <v>0.11941742783564</v>
      </c>
      <c r="K12" s="24"/>
      <c r="L12" s="24"/>
      <c r="M12" s="24"/>
      <c r="N12" s="24"/>
      <c r="O12" s="24"/>
      <c r="P12" s="20" t="s">
        <v>264</v>
      </c>
    </row>
    <row r="13" customFormat="false" ht="15" hidden="false" customHeight="false" outlineLevel="0" collapsed="false">
      <c r="B13" s="6" t="s">
        <v>265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customFormat="false" ht="15" hidden="false" customHeight="false" outlineLevel="0" collapsed="false">
      <c r="B14" s="4" t="s">
        <v>96</v>
      </c>
      <c r="C14" s="17" t="s">
        <v>108</v>
      </c>
      <c r="D14" s="36" t="n">
        <v>1378.192</v>
      </c>
      <c r="E14" s="36" t="n">
        <v>1593.852</v>
      </c>
      <c r="F14" s="36" t="n">
        <v>1785.119</v>
      </c>
      <c r="G14" s="36" t="n">
        <v>2049.687</v>
      </c>
      <c r="H14" s="36" t="n">
        <v>1002.315</v>
      </c>
      <c r="I14" s="36" t="n">
        <v>1165.827</v>
      </c>
      <c r="J14" s="34" t="n">
        <f aca="false">G14+I14-H14</f>
        <v>2213.199</v>
      </c>
      <c r="K14" s="31"/>
      <c r="L14" s="31"/>
      <c r="M14" s="31"/>
      <c r="N14" s="31"/>
      <c r="O14" s="31"/>
    </row>
    <row r="15" customFormat="false" ht="15" hidden="false" customHeight="false" outlineLevel="0" collapsed="false">
      <c r="B15" s="4" t="s">
        <v>98</v>
      </c>
      <c r="C15" s="17" t="s">
        <v>108</v>
      </c>
      <c r="D15" s="36" t="n">
        <v>1319.959</v>
      </c>
      <c r="E15" s="36" t="n">
        <v>1539.124</v>
      </c>
      <c r="F15" s="36" t="n">
        <v>1764.74</v>
      </c>
      <c r="G15" s="36" t="n">
        <v>1944.416</v>
      </c>
      <c r="H15" s="36" t="n">
        <v>975.024</v>
      </c>
      <c r="I15" s="36" t="n">
        <v>1078.62</v>
      </c>
      <c r="J15" s="34" t="n">
        <f aca="false">G15+I15-H15</f>
        <v>2048.012</v>
      </c>
      <c r="K15" s="31"/>
      <c r="L15" s="31"/>
      <c r="M15" s="31"/>
      <c r="N15" s="31"/>
      <c r="O15" s="31"/>
    </row>
    <row r="16" customFormat="false" ht="15" hidden="false" customHeight="false" outlineLevel="0" collapsed="false">
      <c r="B16" s="4" t="s">
        <v>100</v>
      </c>
      <c r="C16" s="17" t="s">
        <v>108</v>
      </c>
      <c r="D16" s="36" t="n">
        <v>66.834</v>
      </c>
      <c r="E16" s="36" t="n">
        <v>72.766</v>
      </c>
      <c r="F16" s="36" t="n">
        <v>80.56</v>
      </c>
      <c r="G16" s="36" t="n">
        <v>92.321</v>
      </c>
      <c r="H16" s="36" t="n">
        <v>45.505</v>
      </c>
      <c r="I16" s="36" t="n">
        <v>49.96</v>
      </c>
      <c r="J16" s="34" t="n">
        <f aca="false">G16+I16-H16</f>
        <v>96.776</v>
      </c>
      <c r="K16" s="31"/>
      <c r="L16" s="31"/>
      <c r="M16" s="31"/>
      <c r="N16" s="31"/>
      <c r="O16" s="31"/>
    </row>
    <row r="17" customFormat="false" ht="15" hidden="false" customHeight="false" outlineLevel="0" collapsed="false">
      <c r="B17" s="4" t="s">
        <v>102</v>
      </c>
      <c r="C17" s="17" t="s">
        <v>108</v>
      </c>
      <c r="D17" s="36" t="n">
        <v>596.305</v>
      </c>
      <c r="E17" s="36" t="n">
        <v>690.848</v>
      </c>
      <c r="F17" s="36" t="n">
        <v>795.657</v>
      </c>
      <c r="G17" s="36" t="n">
        <v>855.092</v>
      </c>
      <c r="H17" s="36" t="n">
        <v>424.845</v>
      </c>
      <c r="I17" s="36" t="n">
        <v>465.646</v>
      </c>
      <c r="J17" s="34" t="n">
        <f aca="false">G17+I17-H17</f>
        <v>895.893</v>
      </c>
      <c r="K17" s="31"/>
      <c r="L17" s="31"/>
      <c r="M17" s="31"/>
      <c r="N17" s="31"/>
      <c r="O17" s="31"/>
    </row>
    <row r="18" customFormat="false" ht="15" hidden="false" customHeight="false" outlineLevel="0" collapsed="false">
      <c r="B18" s="4" t="s">
        <v>266</v>
      </c>
      <c r="C18" s="17" t="s">
        <v>108</v>
      </c>
      <c r="D18" s="36" t="n">
        <v>21.883</v>
      </c>
      <c r="E18" s="36" t="n">
        <v>29.234</v>
      </c>
      <c r="F18" s="36" t="n">
        <v>28.09</v>
      </c>
      <c r="G18" s="36" t="n">
        <v>27.502</v>
      </c>
      <c r="H18" s="36" t="n">
        <v>12.276</v>
      </c>
      <c r="I18" s="36" t="n">
        <v>15.128</v>
      </c>
      <c r="J18" s="34" t="n">
        <f aca="false">G18+I18-H18</f>
        <v>30.354</v>
      </c>
      <c r="K18" s="31"/>
      <c r="L18" s="31"/>
      <c r="M18" s="31"/>
      <c r="N18" s="31"/>
      <c r="O18" s="31"/>
    </row>
    <row r="19" customFormat="false" ht="15" hidden="false" customHeight="false" outlineLevel="0" collapsed="false">
      <c r="B19" s="4" t="s">
        <v>267</v>
      </c>
      <c r="C19" s="17" t="s">
        <v>108</v>
      </c>
      <c r="D19" s="36" t="n">
        <v>137.237</v>
      </c>
      <c r="E19" s="36" t="n">
        <v>153.202</v>
      </c>
      <c r="F19" s="36" t="n">
        <v>178.157</v>
      </c>
      <c r="G19" s="36" t="n">
        <v>206.64</v>
      </c>
      <c r="H19" s="36" t="n">
        <v>99.544</v>
      </c>
      <c r="I19" s="36" t="n">
        <v>115.184</v>
      </c>
      <c r="J19" s="34" t="n">
        <f aca="false">G19+I19-H19</f>
        <v>222.28</v>
      </c>
      <c r="K19" s="31"/>
      <c r="L19" s="31"/>
      <c r="M19" s="31"/>
      <c r="N19" s="31"/>
      <c r="O19" s="31"/>
    </row>
    <row r="20" customFormat="false" ht="15" hidden="false" customHeight="false" outlineLevel="0" collapsed="false">
      <c r="B20" s="4" t="s">
        <v>268</v>
      </c>
      <c r="C20" s="17" t="s">
        <v>108</v>
      </c>
      <c r="D20" s="36" t="n">
        <v>1.6</v>
      </c>
      <c r="E20" s="36" t="n">
        <v>0.275</v>
      </c>
      <c r="F20" s="36" t="n">
        <v>1.226</v>
      </c>
      <c r="G20" s="36" t="n">
        <v>0.349</v>
      </c>
      <c r="H20" s="36" t="n">
        <v>0.139</v>
      </c>
      <c r="I20" s="36" t="n">
        <v>0.153</v>
      </c>
      <c r="J20" s="34" t="n">
        <f aca="false">G20+I20-H20</f>
        <v>0.363</v>
      </c>
      <c r="K20" s="31"/>
      <c r="L20" s="31"/>
      <c r="M20" s="31"/>
      <c r="N20" s="31"/>
      <c r="O20" s="31"/>
      <c r="P20" s="20" t="s">
        <v>269</v>
      </c>
    </row>
    <row r="21" customFormat="false" ht="15" hidden="false" customHeight="false" outlineLevel="0" collapsed="false">
      <c r="B21" s="4" t="s">
        <v>270</v>
      </c>
      <c r="C21" s="17" t="s">
        <v>108</v>
      </c>
      <c r="D21" s="36" t="n">
        <v>172.712</v>
      </c>
      <c r="E21" s="36" t="n">
        <v>198.382</v>
      </c>
      <c r="F21" s="36" t="n">
        <v>223.264</v>
      </c>
      <c r="G21" s="36" t="n">
        <v>227.328</v>
      </c>
      <c r="H21" s="36" t="n">
        <v>118.98</v>
      </c>
      <c r="I21" s="36" t="n">
        <v>133.495</v>
      </c>
      <c r="J21" s="34" t="n">
        <f aca="false">G21+I21-H21</f>
        <v>241.843</v>
      </c>
      <c r="K21" s="31"/>
      <c r="L21" s="31"/>
      <c r="M21" s="31"/>
      <c r="N21" s="31"/>
      <c r="O21" s="31"/>
    </row>
    <row r="22" customFormat="false" ht="15" hidden="false" customHeight="false" outlineLevel="0" collapsed="false">
      <c r="B22" s="42" t="s">
        <v>271</v>
      </c>
      <c r="C22" s="43" t="s">
        <v>108</v>
      </c>
      <c r="D22" s="50" t="n">
        <f aca="false">SUM(D14:D21)</f>
        <v>3694.722</v>
      </c>
      <c r="E22" s="50" t="n">
        <f aca="false">SUM(E14:E21)</f>
        <v>4277.683</v>
      </c>
      <c r="F22" s="50" t="n">
        <f aca="false">SUM(F14:F21)</f>
        <v>4856.813</v>
      </c>
      <c r="G22" s="50" t="n">
        <f aca="false">SUM(G14:G21)</f>
        <v>5403.335</v>
      </c>
      <c r="H22" s="50" t="n">
        <f aca="false">SUM(H14:H21)</f>
        <v>2678.628</v>
      </c>
      <c r="I22" s="50" t="n">
        <f aca="false">SUM(I14:I21)</f>
        <v>3024.013</v>
      </c>
      <c r="J22" s="50" t="n">
        <f aca="false">SUM(J14:J21)</f>
        <v>5748.72</v>
      </c>
      <c r="K22" s="49"/>
      <c r="L22" s="49"/>
      <c r="M22" s="49"/>
      <c r="N22" s="49"/>
      <c r="O22" s="49"/>
    </row>
    <row r="23" customFormat="false" ht="15" hidden="false" customHeight="false" outlineLevel="0" collapsed="false">
      <c r="B23" s="42" t="s">
        <v>272</v>
      </c>
      <c r="C23" s="43" t="s">
        <v>108</v>
      </c>
      <c r="D23" s="50" t="n">
        <f aca="false">D11-D22</f>
        <v>320.197</v>
      </c>
      <c r="E23" s="50" t="n">
        <f aca="false">E11-E22</f>
        <v>353.989000000001</v>
      </c>
      <c r="F23" s="50" t="n">
        <f aca="false">F11-F22</f>
        <v>516.519</v>
      </c>
      <c r="G23" s="50" t="n">
        <f aca="false">G11-G22</f>
        <v>474.740000000001</v>
      </c>
      <c r="H23" s="50" t="n">
        <f aca="false">H11-H22</f>
        <v>281.074</v>
      </c>
      <c r="I23" s="50" t="n">
        <f aca="false">I11-I22</f>
        <v>289.129</v>
      </c>
      <c r="J23" s="50" t="n">
        <f aca="false">J11-J22</f>
        <v>482.794999999999</v>
      </c>
      <c r="K23" s="49"/>
      <c r="L23" s="49"/>
      <c r="M23" s="49"/>
      <c r="N23" s="49"/>
      <c r="O23" s="49"/>
    </row>
    <row r="24" customFormat="false" ht="15" hidden="false" customHeight="false" outlineLevel="0" collapsed="false">
      <c r="B24" s="4" t="s">
        <v>273</v>
      </c>
      <c r="C24" s="17" t="s">
        <v>91</v>
      </c>
      <c r="D24" s="25" t="n">
        <f aca="false">D23/D11</f>
        <v>0.0797517957398394</v>
      </c>
      <c r="E24" s="25" t="n">
        <f aca="false">E23/E11</f>
        <v>0.0764279076756732</v>
      </c>
      <c r="F24" s="25" t="n">
        <f aca="false">F23/F11</f>
        <v>0.0961263886169699</v>
      </c>
      <c r="G24" s="25" t="n">
        <f aca="false">G23/G11</f>
        <v>0.0807645360088125</v>
      </c>
      <c r="H24" s="25" t="n">
        <f aca="false">H23/H11</f>
        <v>0.0949669932986495</v>
      </c>
      <c r="I24" s="25" t="n">
        <f aca="false">I23/I11</f>
        <v>0.0872673130218988</v>
      </c>
      <c r="J24" s="25" t="n">
        <f aca="false">J23/J11</f>
        <v>0.0774763440351181</v>
      </c>
      <c r="K24" s="24"/>
      <c r="L24" s="24"/>
      <c r="M24" s="24"/>
      <c r="N24" s="24"/>
      <c r="O24" s="24"/>
    </row>
    <row r="25" customFormat="false" ht="15" hidden="false" customHeight="false" outlineLevel="0" collapsed="false">
      <c r="B25" s="4" t="s">
        <v>274</v>
      </c>
      <c r="C25" s="17" t="s">
        <v>108</v>
      </c>
      <c r="D25" s="36" t="n">
        <v>-0.124</v>
      </c>
      <c r="E25" s="36" t="n">
        <v>2.984</v>
      </c>
      <c r="F25" s="36" t="n">
        <v>6.774</v>
      </c>
      <c r="G25" s="36" t="n">
        <v>3.137</v>
      </c>
      <c r="H25" s="36" t="n">
        <v>2.345</v>
      </c>
      <c r="I25" s="36" t="n">
        <v>1.566</v>
      </c>
      <c r="J25" s="34" t="n">
        <f aca="false">G25+I25-H25</f>
        <v>2.358</v>
      </c>
      <c r="K25" s="31"/>
      <c r="L25" s="31"/>
      <c r="M25" s="31"/>
      <c r="N25" s="31"/>
      <c r="O25" s="31"/>
      <c r="P25" s="20" t="s">
        <v>275</v>
      </c>
    </row>
    <row r="26" customFormat="false" ht="15" hidden="false" customHeight="false" outlineLevel="0" collapsed="false">
      <c r="B26" s="4" t="s">
        <v>276</v>
      </c>
      <c r="C26" s="17" t="s">
        <v>108</v>
      </c>
      <c r="D26" s="36" t="n">
        <v>1.239</v>
      </c>
      <c r="E26" s="36" t="n">
        <v>1.351</v>
      </c>
      <c r="F26" s="36" t="n">
        <v>1.197</v>
      </c>
      <c r="G26" s="36" t="n">
        <v>2.879</v>
      </c>
      <c r="H26" s="36" t="n">
        <v>1.651</v>
      </c>
      <c r="I26" s="36" t="n">
        <v>0.326</v>
      </c>
      <c r="J26" s="34" t="n">
        <f aca="false">G26+I26-H26</f>
        <v>1.554</v>
      </c>
      <c r="K26" s="31"/>
      <c r="L26" s="31"/>
      <c r="M26" s="31"/>
      <c r="N26" s="31"/>
      <c r="O26" s="31"/>
      <c r="P26" s="20" t="s">
        <v>277</v>
      </c>
    </row>
    <row r="27" customFormat="false" ht="15" hidden="false" customHeight="false" outlineLevel="0" collapsed="false">
      <c r="B27" s="42" t="s">
        <v>278</v>
      </c>
      <c r="C27" s="43" t="s">
        <v>108</v>
      </c>
      <c r="D27" s="50" t="n">
        <f aca="false">D23+D25+D26</f>
        <v>321.312</v>
      </c>
      <c r="E27" s="50" t="n">
        <f aca="false">E23+E25+E26</f>
        <v>358.324</v>
      </c>
      <c r="F27" s="50" t="n">
        <f aca="false">F23+F25+F26</f>
        <v>524.49</v>
      </c>
      <c r="G27" s="50" t="n">
        <f aca="false">G23+G25+G26</f>
        <v>480.756000000001</v>
      </c>
      <c r="H27" s="50" t="n">
        <f aca="false">H23+H25+H26</f>
        <v>285.07</v>
      </c>
      <c r="I27" s="50" t="n">
        <f aca="false">I23+I25+I26</f>
        <v>291.021</v>
      </c>
      <c r="J27" s="50" t="n">
        <f aca="false">J23+J25+J26</f>
        <v>486.706999999999</v>
      </c>
      <c r="K27" s="49"/>
      <c r="L27" s="49"/>
      <c r="M27" s="49"/>
      <c r="N27" s="49"/>
      <c r="O27" s="49"/>
    </row>
    <row r="28" customFormat="false" ht="15" hidden="false" customHeight="false" outlineLevel="0" collapsed="false">
      <c r="B28" s="4" t="s">
        <v>279</v>
      </c>
      <c r="C28" s="17" t="s">
        <v>108</v>
      </c>
      <c r="D28" s="36" t="n">
        <v>43.715</v>
      </c>
      <c r="E28" s="36" t="n">
        <v>44.649</v>
      </c>
      <c r="F28" s="36" t="n">
        <v>80.145</v>
      </c>
      <c r="G28" s="36" t="n">
        <v>66.421</v>
      </c>
      <c r="H28" s="36" t="n">
        <v>42.318</v>
      </c>
      <c r="I28" s="36" t="n">
        <v>40.512</v>
      </c>
      <c r="J28" s="34" t="n">
        <f aca="false">G28+I28-H28</f>
        <v>64.615</v>
      </c>
      <c r="K28" s="31"/>
      <c r="L28" s="31"/>
      <c r="M28" s="31"/>
      <c r="N28" s="31"/>
      <c r="O28" s="31"/>
    </row>
    <row r="29" customFormat="false" ht="15" hidden="false" customHeight="false" outlineLevel="0" collapsed="false">
      <c r="B29" s="42" t="s">
        <v>280</v>
      </c>
      <c r="C29" s="43" t="s">
        <v>108</v>
      </c>
      <c r="D29" s="50" t="n">
        <f aca="false">D27-D28</f>
        <v>277.597</v>
      </c>
      <c r="E29" s="50" t="n">
        <f aca="false">E27-E28</f>
        <v>313.675</v>
      </c>
      <c r="F29" s="50" t="n">
        <f aca="false">F27-F28</f>
        <v>444.345</v>
      </c>
      <c r="G29" s="50" t="n">
        <f aca="false">G27-G28</f>
        <v>414.335000000001</v>
      </c>
      <c r="H29" s="50" t="n">
        <f aca="false">H27-H28</f>
        <v>242.752</v>
      </c>
      <c r="I29" s="50" t="n">
        <f aca="false">I27-I28</f>
        <v>250.509</v>
      </c>
      <c r="J29" s="50" t="n">
        <f aca="false">J27-J28</f>
        <v>422.091999999999</v>
      </c>
      <c r="K29" s="49"/>
      <c r="L29" s="49"/>
      <c r="M29" s="49"/>
      <c r="N29" s="49"/>
      <c r="O29" s="49"/>
    </row>
    <row r="30" customFormat="false" ht="15" hidden="false" customHeight="false" outlineLevel="0" collapsed="false">
      <c r="B30" s="4" t="s">
        <v>281</v>
      </c>
      <c r="C30" s="17" t="s">
        <v>108</v>
      </c>
      <c r="D30" s="36" t="n">
        <v>7.779</v>
      </c>
      <c r="E30" s="36" t="n">
        <v>8.799</v>
      </c>
      <c r="F30" s="36" t="n">
        <v>10.753</v>
      </c>
      <c r="G30" s="36" t="n">
        <v>8.781</v>
      </c>
      <c r="H30" s="36" t="n">
        <v>5.005</v>
      </c>
      <c r="I30" s="36" t="n">
        <v>5.143</v>
      </c>
      <c r="J30" s="34" t="n">
        <f aca="false">G30+I30-H30</f>
        <v>8.919</v>
      </c>
      <c r="K30" s="31"/>
      <c r="L30" s="31"/>
      <c r="M30" s="31"/>
      <c r="N30" s="31"/>
      <c r="O30" s="31"/>
    </row>
    <row r="31" customFormat="false" ht="15" hidden="false" customHeight="false" outlineLevel="0" collapsed="false">
      <c r="B31" s="42" t="s">
        <v>282</v>
      </c>
      <c r="C31" s="43" t="s">
        <v>108</v>
      </c>
      <c r="D31" s="50" t="n">
        <f aca="false">D29-D30</f>
        <v>269.818</v>
      </c>
      <c r="E31" s="50" t="n">
        <f aca="false">E29-E30</f>
        <v>304.876000000001</v>
      </c>
      <c r="F31" s="50" t="n">
        <f aca="false">F29-F30</f>
        <v>433.592</v>
      </c>
      <c r="G31" s="50" t="n">
        <f aca="false">G29-G30</f>
        <v>405.554000000001</v>
      </c>
      <c r="H31" s="50" t="n">
        <f aca="false">H29-H30</f>
        <v>237.747</v>
      </c>
      <c r="I31" s="50" t="n">
        <f aca="false">I29-I30</f>
        <v>245.366</v>
      </c>
      <c r="J31" s="50" t="n">
        <f aca="false">J29-J30</f>
        <v>413.172999999999</v>
      </c>
      <c r="K31" s="49"/>
      <c r="L31" s="49"/>
      <c r="M31" s="49"/>
      <c r="N31" s="49"/>
      <c r="O31" s="49"/>
    </row>
    <row r="32" customFormat="false" ht="15" hidden="false" customHeight="false" outlineLevel="0" collapsed="false">
      <c r="B32" s="6" t="s">
        <v>283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15" hidden="false" customHeight="false" outlineLevel="0" collapsed="false">
      <c r="B33" s="4" t="s">
        <v>284</v>
      </c>
      <c r="C33" s="17" t="s">
        <v>169</v>
      </c>
      <c r="D33" s="36" t="n">
        <v>67.643</v>
      </c>
      <c r="E33" s="36" t="n">
        <v>66.893</v>
      </c>
      <c r="F33" s="36" t="n">
        <v>66.752</v>
      </c>
      <c r="G33" s="36" t="n">
        <v>66.324</v>
      </c>
      <c r="H33" s="36" t="n">
        <v>66.429</v>
      </c>
      <c r="I33" s="36" t="n">
        <v>65.809</v>
      </c>
      <c r="K33" s="31"/>
      <c r="L33" s="31"/>
      <c r="M33" s="31"/>
      <c r="N33" s="31"/>
      <c r="O33" s="31"/>
      <c r="P33" s="20" t="s">
        <v>285</v>
      </c>
    </row>
    <row r="34" customFormat="false" ht="15" hidden="false" customHeight="false" outlineLevel="0" collapsed="false">
      <c r="B34" s="4" t="s">
        <v>286</v>
      </c>
      <c r="C34" s="17" t="s">
        <v>169</v>
      </c>
      <c r="D34" s="36" t="n">
        <v>67.92</v>
      </c>
      <c r="E34" s="36" t="n">
        <v>67.149</v>
      </c>
      <c r="F34" s="36" t="n">
        <v>67.011</v>
      </c>
      <c r="G34" s="36" t="n">
        <v>66.511</v>
      </c>
      <c r="H34" s="36" t="n">
        <v>66.656</v>
      </c>
      <c r="I34" s="36" t="n">
        <v>66.019</v>
      </c>
      <c r="K34" s="31"/>
      <c r="L34" s="31"/>
      <c r="M34" s="31"/>
      <c r="N34" s="31"/>
      <c r="O34" s="31"/>
    </row>
    <row r="35" customFormat="false" ht="15" hidden="false" customHeight="false" outlineLevel="0" collapsed="false">
      <c r="B35" s="4" t="s">
        <v>287</v>
      </c>
      <c r="C35" s="17" t="s">
        <v>158</v>
      </c>
      <c r="D35" s="51" t="n">
        <f aca="false">D31/D34</f>
        <v>3.97258539458186</v>
      </c>
      <c r="E35" s="51" t="n">
        <f aca="false">E31/E34</f>
        <v>4.54029099465369</v>
      </c>
      <c r="F35" s="51" t="n">
        <f aca="false">F31/F34</f>
        <v>6.47046007371924</v>
      </c>
      <c r="G35" s="51" t="n">
        <f aca="false">G31/G34</f>
        <v>6.09754777405242</v>
      </c>
      <c r="H35" s="51" t="n">
        <f aca="false">H31/H34</f>
        <v>3.56677568410945</v>
      </c>
      <c r="I35" s="51" t="n">
        <f aca="false">I31/I34</f>
        <v>3.7165967373029</v>
      </c>
      <c r="J35" s="51" t="n">
        <f aca="false">G35+I35-H35</f>
        <v>6.24736882724587</v>
      </c>
      <c r="K35" s="33"/>
      <c r="L35" s="33"/>
      <c r="M35" s="33"/>
      <c r="N35" s="33"/>
      <c r="O35" s="33"/>
      <c r="P35" s="20" t="s">
        <v>288</v>
      </c>
    </row>
    <row r="36" customFormat="false" ht="15" hidden="false" customHeight="false" outlineLevel="0" collapsed="false">
      <c r="B36" s="4" t="s">
        <v>157</v>
      </c>
      <c r="C36" s="17" t="s">
        <v>158</v>
      </c>
      <c r="D36" s="35" t="n">
        <v>1.84</v>
      </c>
      <c r="E36" s="35" t="n">
        <v>2.2</v>
      </c>
      <c r="F36" s="35" t="n">
        <v>2.44</v>
      </c>
      <c r="G36" s="35" t="n">
        <v>2.72</v>
      </c>
      <c r="H36" s="35" t="n">
        <v>1.36</v>
      </c>
      <c r="I36" s="35" t="n">
        <v>1.5</v>
      </c>
      <c r="K36" s="33"/>
      <c r="L36" s="33"/>
      <c r="M36" s="33"/>
      <c r="N36" s="33"/>
      <c r="O36" s="33"/>
    </row>
    <row r="37" customFormat="false" ht="15" hidden="false" customHeight="false" outlineLevel="0" collapsed="false">
      <c r="B37" s="6" t="s">
        <v>289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customFormat="false" ht="15" hidden="false" customHeight="false" outlineLevel="0" collapsed="false">
      <c r="B38" s="42" t="s">
        <v>290</v>
      </c>
      <c r="C38" s="43" t="s">
        <v>108</v>
      </c>
      <c r="D38" s="50" t="n">
        <f aca="false">D23+D19</f>
        <v>457.434</v>
      </c>
      <c r="E38" s="50" t="n">
        <f aca="false">E23+E19</f>
        <v>507.191000000001</v>
      </c>
      <c r="F38" s="50" t="n">
        <f aca="false">F23+F19</f>
        <v>694.676</v>
      </c>
      <c r="G38" s="50" t="n">
        <f aca="false">G23+G19</f>
        <v>681.380000000001</v>
      </c>
      <c r="H38" s="50" t="n">
        <f aca="false">H23+H19</f>
        <v>380.618</v>
      </c>
      <c r="I38" s="50" t="n">
        <f aca="false">I23+I19</f>
        <v>404.313</v>
      </c>
      <c r="J38" s="50" t="n">
        <f aca="false">J23+J19</f>
        <v>705.074999999999</v>
      </c>
      <c r="K38" s="49"/>
      <c r="L38" s="49"/>
      <c r="M38" s="49"/>
      <c r="N38" s="49"/>
      <c r="O38" s="49"/>
      <c r="P38" s="20" t="s">
        <v>291</v>
      </c>
    </row>
    <row r="39" customFormat="false" ht="15" hidden="false" customHeight="false" outlineLevel="0" collapsed="false">
      <c r="B39" s="4" t="s">
        <v>292</v>
      </c>
      <c r="C39" s="17" t="s">
        <v>91</v>
      </c>
      <c r="D39" s="25" t="n">
        <f aca="false">D38/D11</f>
        <v>0.113933556318322</v>
      </c>
      <c r="E39" s="25" t="n">
        <f aca="false">E38/E11</f>
        <v>0.109504947673324</v>
      </c>
      <c r="F39" s="25" t="n">
        <f aca="false">F38/F11</f>
        <v>0.129282166074979</v>
      </c>
      <c r="G39" s="25" t="n">
        <f aca="false">G38/G11</f>
        <v>0.115918902021495</v>
      </c>
      <c r="H39" s="25" t="n">
        <f aca="false">H38/H11</f>
        <v>0.128600109065034</v>
      </c>
      <c r="I39" s="25" t="n">
        <f aca="false">I38/I11</f>
        <v>0.122033103320051</v>
      </c>
      <c r="J39" s="25" t="n">
        <f aca="false">J38/J11</f>
        <v>0.113146642509887</v>
      </c>
      <c r="K39" s="24"/>
      <c r="L39" s="24"/>
      <c r="M39" s="24"/>
      <c r="N39" s="24"/>
      <c r="O39" s="24"/>
    </row>
    <row r="40" customFormat="false" ht="15" hidden="false" customHeight="false" outlineLevel="0" collapsed="false">
      <c r="B40" s="4" t="s">
        <v>293</v>
      </c>
      <c r="C40" s="17" t="s">
        <v>108</v>
      </c>
      <c r="D40" s="34" t="n">
        <f aca="false">D9-D14-D15-D16-D17</f>
        <v>627.501</v>
      </c>
      <c r="E40" s="34" t="n">
        <f aca="false">E9-E14-E15-E16-E17</f>
        <v>707.964</v>
      </c>
      <c r="F40" s="34" t="n">
        <f aca="false">F9-F14-F15-F16-F17</f>
        <v>915.777</v>
      </c>
      <c r="G40" s="34" t="n">
        <f aca="false">G9-G14-G15-G16-G17</f>
        <v>905.718000000001</v>
      </c>
      <c r="H40" s="34" t="n">
        <f aca="false">H9-H14-H15-H16-H17</f>
        <v>496.627</v>
      </c>
      <c r="I40" s="34" t="n">
        <f aca="false">I9-I14-I15-I16-I17</f>
        <v>539.549</v>
      </c>
      <c r="J40" s="34" t="n">
        <f aca="false">J9-J14-J15-J16-J17</f>
        <v>948.639999999999</v>
      </c>
      <c r="K40" s="31"/>
      <c r="L40" s="31"/>
      <c r="M40" s="31"/>
      <c r="N40" s="31"/>
      <c r="O40" s="31"/>
      <c r="P40" s="20" t="s">
        <v>294</v>
      </c>
    </row>
    <row r="41" customFormat="false" ht="15" hidden="false" customHeight="false" outlineLevel="0" collapsed="false">
      <c r="B41" s="4" t="s">
        <v>295</v>
      </c>
      <c r="C41" s="17" t="s">
        <v>91</v>
      </c>
      <c r="D41" s="25" t="n">
        <f aca="false">D40/D9</f>
        <v>0.157316089010429</v>
      </c>
      <c r="E41" s="25" t="n">
        <f aca="false">E40/E9</f>
        <v>0.153753001919404</v>
      </c>
      <c r="F41" s="25" t="n">
        <f aca="false">F40/F9</f>
        <v>0.171434331869484</v>
      </c>
      <c r="G41" s="25" t="n">
        <f aca="false">G40/G9</f>
        <v>0.154896828141306</v>
      </c>
      <c r="H41" s="25" t="n">
        <f aca="false">H40/H9</f>
        <v>0.168673131552456</v>
      </c>
      <c r="I41" s="25" t="n">
        <f aca="false">I40/I9</f>
        <v>0.163519418402583</v>
      </c>
      <c r="J41" s="25" t="n">
        <f aca="false">J40/J9</f>
        <v>0.152944287160702</v>
      </c>
      <c r="K41" s="24"/>
      <c r="L41" s="24"/>
      <c r="M41" s="24"/>
      <c r="N41" s="24"/>
      <c r="O41" s="24"/>
    </row>
    <row r="42" customFormat="false" ht="15" hidden="false" customHeight="false" outlineLevel="0" collapsed="false">
      <c r="B42" s="4" t="s">
        <v>296</v>
      </c>
      <c r="C42" s="17" t="s">
        <v>297</v>
      </c>
      <c r="E42" s="52" t="n">
        <f aca="false">(E41-D41)*10000</f>
        <v>-35.6308709102532</v>
      </c>
      <c r="F42" s="52" t="n">
        <f aca="false">(F41-E41)*10000</f>
        <v>176.813299500802</v>
      </c>
      <c r="G42" s="52" t="n">
        <f aca="false">(G41-F41)*10000</f>
        <v>-165.375037281784</v>
      </c>
      <c r="K42" s="53"/>
      <c r="L42" s="53"/>
      <c r="M42" s="53"/>
      <c r="N42" s="53"/>
      <c r="O42" s="53"/>
    </row>
    <row r="44" customFormat="false" ht="15" hidden="false" customHeight="false" outlineLevel="0" collapsed="false">
      <c r="B44" s="6" t="s">
        <v>298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customFormat="false" ht="15" hidden="false" customHeight="false" outlineLevel="0" collapsed="false">
      <c r="B45" s="4" t="s">
        <v>299</v>
      </c>
      <c r="C45" s="17" t="s">
        <v>108</v>
      </c>
      <c r="D45" s="36" t="n">
        <v>4014.919</v>
      </c>
      <c r="E45" s="36" t="n">
        <v>4631.672</v>
      </c>
      <c r="F45" s="36" t="n">
        <v>5373.332</v>
      </c>
      <c r="G45" s="36" t="n">
        <v>5878.075</v>
      </c>
      <c r="H45" s="36" t="n">
        <v>2959.702</v>
      </c>
      <c r="I45" s="36" t="n">
        <v>3313.142</v>
      </c>
    </row>
    <row r="46" customFormat="false" ht="15" hidden="false" customHeight="false" outlineLevel="0" collapsed="false">
      <c r="B46" s="4" t="s">
        <v>300</v>
      </c>
      <c r="C46" s="17" t="s">
        <v>108</v>
      </c>
      <c r="D46" s="34" t="n">
        <f aca="false">D11-D45</f>
        <v>0</v>
      </c>
      <c r="E46" s="34" t="n">
        <f aca="false">E11-E45</f>
        <v>0</v>
      </c>
      <c r="F46" s="34" t="n">
        <f aca="false">F11-F45</f>
        <v>0</v>
      </c>
      <c r="G46" s="34" t="n">
        <f aca="false">G11-G45</f>
        <v>0</v>
      </c>
      <c r="H46" s="34" t="n">
        <f aca="false">H11-H45</f>
        <v>0</v>
      </c>
      <c r="I46" s="34" t="n">
        <f aca="false">I11-I45</f>
        <v>0</v>
      </c>
    </row>
    <row r="47" customFormat="false" ht="15" hidden="false" customHeight="false" outlineLevel="0" collapsed="false">
      <c r="B47" s="4" t="s">
        <v>301</v>
      </c>
      <c r="C47" s="17" t="s">
        <v>108</v>
      </c>
      <c r="D47" s="36" t="n">
        <v>3694.722</v>
      </c>
      <c r="E47" s="36" t="n">
        <v>4277.683</v>
      </c>
      <c r="F47" s="36" t="n">
        <v>4856.813</v>
      </c>
      <c r="G47" s="36" t="n">
        <v>5403.335</v>
      </c>
      <c r="H47" s="36" t="n">
        <v>2678.628</v>
      </c>
      <c r="I47" s="36" t="n">
        <v>3024.013</v>
      </c>
    </row>
    <row r="48" customFormat="false" ht="15" hidden="false" customHeight="false" outlineLevel="0" collapsed="false">
      <c r="B48" s="4" t="s">
        <v>300</v>
      </c>
      <c r="C48" s="17" t="s">
        <v>108</v>
      </c>
      <c r="D48" s="34" t="n">
        <f aca="false">D22-D47</f>
        <v>0</v>
      </c>
      <c r="E48" s="34" t="n">
        <f aca="false">E22-E47</f>
        <v>0</v>
      </c>
      <c r="F48" s="34" t="n">
        <f aca="false">F22-F47</f>
        <v>0</v>
      </c>
      <c r="G48" s="34" t="n">
        <f aca="false">G22-G47</f>
        <v>0</v>
      </c>
      <c r="H48" s="34" t="n">
        <f aca="false">H22-H47</f>
        <v>0</v>
      </c>
      <c r="I48" s="34" t="n">
        <f aca="false">I22-I47</f>
        <v>0</v>
      </c>
    </row>
    <row r="49" customFormat="false" ht="15" hidden="false" customHeight="false" outlineLevel="0" collapsed="false">
      <c r="B49" s="4" t="s">
        <v>302</v>
      </c>
      <c r="C49" s="17" t="s">
        <v>108</v>
      </c>
      <c r="D49" s="36" t="n">
        <v>320.197</v>
      </c>
      <c r="E49" s="36" t="n">
        <v>353.989</v>
      </c>
      <c r="F49" s="36" t="n">
        <v>516.519</v>
      </c>
      <c r="G49" s="36" t="n">
        <v>474.74</v>
      </c>
      <c r="H49" s="36" t="n">
        <v>281.074</v>
      </c>
      <c r="I49" s="36" t="n">
        <v>289.129</v>
      </c>
    </row>
    <row r="50" customFormat="false" ht="15" hidden="false" customHeight="false" outlineLevel="0" collapsed="false">
      <c r="B50" s="4" t="s">
        <v>300</v>
      </c>
      <c r="C50" s="17" t="s">
        <v>108</v>
      </c>
      <c r="D50" s="34" t="n">
        <f aca="false">D23-D49</f>
        <v>0</v>
      </c>
      <c r="E50" s="34" t="n">
        <f aca="false">E23-E49</f>
        <v>0</v>
      </c>
      <c r="F50" s="34" t="n">
        <f aca="false">F23-F49</f>
        <v>0</v>
      </c>
      <c r="G50" s="34" t="n">
        <f aca="false">G23-G49</f>
        <v>0</v>
      </c>
      <c r="H50" s="34" t="n">
        <f aca="false">H23-H49</f>
        <v>0</v>
      </c>
      <c r="I50" s="34" t="n">
        <f aca="false">I23-I49</f>
        <v>0</v>
      </c>
    </row>
    <row r="51" customFormat="false" ht="15" hidden="false" customHeight="false" outlineLevel="0" collapsed="false">
      <c r="B51" s="4" t="s">
        <v>303</v>
      </c>
      <c r="C51" s="17" t="s">
        <v>108</v>
      </c>
      <c r="D51" s="36" t="n">
        <v>321.312</v>
      </c>
      <c r="E51" s="36" t="n">
        <v>358.324</v>
      </c>
      <c r="F51" s="36" t="n">
        <v>524.49</v>
      </c>
      <c r="G51" s="36" t="n">
        <v>480.756</v>
      </c>
      <c r="H51" s="36" t="n">
        <v>285.07</v>
      </c>
      <c r="I51" s="36" t="n">
        <v>291.021</v>
      </c>
    </row>
    <row r="52" customFormat="false" ht="15" hidden="false" customHeight="false" outlineLevel="0" collapsed="false">
      <c r="B52" s="4" t="s">
        <v>300</v>
      </c>
      <c r="C52" s="17" t="s">
        <v>108</v>
      </c>
      <c r="D52" s="34" t="n">
        <f aca="false">D27-D51</f>
        <v>0</v>
      </c>
      <c r="E52" s="34" t="n">
        <f aca="false">E27-E51</f>
        <v>0</v>
      </c>
      <c r="F52" s="34" t="n">
        <f aca="false">F27-F51</f>
        <v>0</v>
      </c>
      <c r="G52" s="34" t="n">
        <f aca="false">G27-G51</f>
        <v>0</v>
      </c>
      <c r="H52" s="34" t="n">
        <f aca="false">H27-H51</f>
        <v>0</v>
      </c>
      <c r="I52" s="34" t="n">
        <f aca="false">I27-I51</f>
        <v>0</v>
      </c>
    </row>
    <row r="53" customFormat="false" ht="15" hidden="false" customHeight="false" outlineLevel="0" collapsed="false">
      <c r="B53" s="4" t="s">
        <v>304</v>
      </c>
      <c r="C53" s="17" t="s">
        <v>108</v>
      </c>
      <c r="D53" s="36" t="n">
        <v>269.818</v>
      </c>
      <c r="E53" s="36" t="n">
        <v>304.876</v>
      </c>
      <c r="F53" s="36" t="n">
        <v>433.592</v>
      </c>
      <c r="G53" s="36" t="n">
        <v>405.554</v>
      </c>
      <c r="H53" s="36" t="n">
        <v>237.747</v>
      </c>
      <c r="I53" s="36" t="n">
        <v>245.366</v>
      </c>
    </row>
    <row r="54" customFormat="false" ht="15" hidden="false" customHeight="false" outlineLevel="0" collapsed="false">
      <c r="B54" s="4" t="s">
        <v>300</v>
      </c>
      <c r="C54" s="17" t="s">
        <v>108</v>
      </c>
      <c r="D54" s="34" t="n">
        <f aca="false">D31-D53</f>
        <v>0</v>
      </c>
      <c r="E54" s="34" t="n">
        <f aca="false">E31-E53</f>
        <v>0</v>
      </c>
      <c r="F54" s="34" t="n">
        <f aca="false">F31-F53</f>
        <v>0</v>
      </c>
      <c r="G54" s="34" t="n">
        <f aca="false">G31-G53</f>
        <v>0</v>
      </c>
      <c r="H54" s="34" t="n">
        <f aca="false">H31-H53</f>
        <v>0</v>
      </c>
      <c r="I54" s="34" t="n">
        <f aca="false">I31-I53</f>
        <v>0</v>
      </c>
    </row>
    <row r="55" customFormat="false" ht="15" hidden="false" customHeight="false" outlineLevel="0" collapsed="false">
      <c r="B55" s="4" t="s">
        <v>305</v>
      </c>
      <c r="C55" s="17" t="s">
        <v>108</v>
      </c>
      <c r="F55" s="36" t="n">
        <v>915.777</v>
      </c>
      <c r="G55" s="36" t="n">
        <v>905.718</v>
      </c>
      <c r="H55" s="36" t="n">
        <v>496.6</v>
      </c>
      <c r="I55" s="36" t="n">
        <v>539.5</v>
      </c>
      <c r="P55" s="20" t="s">
        <v>306</v>
      </c>
    </row>
    <row r="56" customFormat="false" ht="15" hidden="false" customHeight="false" outlineLevel="0" collapsed="false">
      <c r="B56" s="4" t="s">
        <v>300</v>
      </c>
      <c r="C56" s="17" t="s">
        <v>108</v>
      </c>
      <c r="F56" s="34" t="n">
        <f aca="false">F40-F55</f>
        <v>0</v>
      </c>
      <c r="G56" s="34" t="n">
        <f aca="false">G40-G55</f>
        <v>0</v>
      </c>
      <c r="H56" s="34" t="n">
        <f aca="false">H40-H55</f>
        <v>0.0269999999997026</v>
      </c>
      <c r="I56" s="34" t="n">
        <f aca="false">I40-I55</f>
        <v>0.0489999999997508</v>
      </c>
    </row>
    <row r="57" customFormat="false" ht="15" hidden="false" customHeight="false" outlineLevel="0" collapsed="false">
      <c r="B57" s="4" t="s">
        <v>307</v>
      </c>
      <c r="C57" s="17" t="s">
        <v>158</v>
      </c>
      <c r="D57" s="35" t="n">
        <v>3.97</v>
      </c>
      <c r="E57" s="35" t="n">
        <v>4.54</v>
      </c>
      <c r="F57" s="35" t="n">
        <v>6.47</v>
      </c>
      <c r="G57" s="35" t="n">
        <v>6.1</v>
      </c>
      <c r="H57" s="35" t="n">
        <v>3.57</v>
      </c>
      <c r="I57" s="35" t="n">
        <v>3.72</v>
      </c>
    </row>
    <row r="58" customFormat="false" ht="15" hidden="false" customHeight="false" outlineLevel="0" collapsed="false">
      <c r="B58" s="4" t="s">
        <v>300</v>
      </c>
      <c r="C58" s="17" t="s">
        <v>158</v>
      </c>
      <c r="D58" s="51" t="n">
        <f aca="false">D35-D57</f>
        <v>0.00258539458186213</v>
      </c>
      <c r="E58" s="51" t="n">
        <f aca="false">E35-E57</f>
        <v>0.000290994653687982</v>
      </c>
      <c r="F58" s="51" t="n">
        <f aca="false">F35-F57</f>
        <v>0.000460073719244392</v>
      </c>
      <c r="G58" s="51" t="n">
        <f aca="false">G35-G57</f>
        <v>-0.0024522259475761</v>
      </c>
      <c r="H58" s="51" t="n">
        <f aca="false">H35-H57</f>
        <v>-0.00322431589054739</v>
      </c>
      <c r="I58" s="51" t="n">
        <f aca="false">I35-I57</f>
        <v>-0.00340326269710456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308</v>
      </c>
    </row>
    <row r="2" customFormat="false" ht="15" hidden="false" customHeight="false" outlineLevel="0" collapsed="false">
      <c r="B2" s="10" t="s">
        <v>309</v>
      </c>
    </row>
    <row r="4" customFormat="false" ht="15" hidden="false" customHeight="false" outlineLevel="0" collapsed="false">
      <c r="B4" s="11" t="s">
        <v>65</v>
      </c>
      <c r="C4" s="11" t="s">
        <v>12</v>
      </c>
      <c r="D4" s="12" t="s">
        <v>66</v>
      </c>
      <c r="E4" s="12" t="s">
        <v>67</v>
      </c>
      <c r="F4" s="12" t="s">
        <v>68</v>
      </c>
      <c r="G4" s="12" t="s">
        <v>69</v>
      </c>
      <c r="H4" s="12" t="s">
        <v>70</v>
      </c>
      <c r="I4" s="12" t="s">
        <v>71</v>
      </c>
      <c r="J4" s="12" t="s">
        <v>72</v>
      </c>
      <c r="K4" s="12" t="s">
        <v>73</v>
      </c>
      <c r="L4" s="12" t="s">
        <v>74</v>
      </c>
      <c r="M4" s="12" t="s">
        <v>75</v>
      </c>
      <c r="N4" s="12" t="s">
        <v>76</v>
      </c>
      <c r="O4" s="12" t="s">
        <v>77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D5" s="15" t="n">
        <v>44922</v>
      </c>
      <c r="E5" s="15" t="n">
        <v>45286</v>
      </c>
      <c r="F5" s="15" t="n">
        <v>45657</v>
      </c>
      <c r="G5" s="15" t="n">
        <v>46021</v>
      </c>
      <c r="H5" s="15" t="n">
        <v>45839</v>
      </c>
      <c r="I5" s="15" t="n">
        <v>46203</v>
      </c>
      <c r="J5" s="15" t="n">
        <v>46203</v>
      </c>
      <c r="K5" s="15" t="n">
        <v>46385</v>
      </c>
      <c r="L5" s="15" t="n">
        <v>46749</v>
      </c>
      <c r="M5" s="15" t="n">
        <v>47113</v>
      </c>
      <c r="N5" s="15" t="n">
        <v>47477</v>
      </c>
      <c r="O5" s="15" t="n">
        <v>47848</v>
      </c>
      <c r="P5" s="14"/>
    </row>
    <row r="6" customFormat="false" ht="15" hidden="false" customHeight="false" outlineLevel="0" collapsed="false">
      <c r="B6" s="13" t="s">
        <v>80</v>
      </c>
      <c r="C6" s="14"/>
      <c r="D6" s="16" t="n">
        <v>52</v>
      </c>
      <c r="E6" s="16" t="n">
        <v>52</v>
      </c>
      <c r="F6" s="16" t="n">
        <v>53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53</v>
      </c>
      <c r="P6" s="14"/>
    </row>
    <row r="8" customFormat="false" ht="15" hidden="false" customHeight="false" outlineLevel="0" collapsed="false">
      <c r="B8" s="6" t="s">
        <v>310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311</v>
      </c>
      <c r="C9" s="17" t="s">
        <v>108</v>
      </c>
      <c r="D9" s="36" t="n">
        <v>173.861</v>
      </c>
      <c r="E9" s="36" t="n">
        <v>104.246</v>
      </c>
      <c r="F9" s="36" t="n">
        <v>245.225</v>
      </c>
      <c r="G9" s="36" t="n">
        <v>134.709</v>
      </c>
      <c r="I9" s="36" t="n">
        <v>202.427</v>
      </c>
      <c r="J9" s="34" t="n">
        <f aca="false">I9</f>
        <v>202.427</v>
      </c>
      <c r="K9" s="31"/>
      <c r="L9" s="31"/>
      <c r="M9" s="31"/>
      <c r="N9" s="31"/>
      <c r="O9" s="31"/>
      <c r="P9" s="20" t="s">
        <v>312</v>
      </c>
    </row>
    <row r="10" customFormat="false" ht="15" hidden="false" customHeight="false" outlineLevel="0" collapsed="false">
      <c r="B10" s="4" t="s">
        <v>313</v>
      </c>
      <c r="C10" s="17" t="s">
        <v>108</v>
      </c>
      <c r="D10" s="36" t="n">
        <v>150.264</v>
      </c>
      <c r="E10" s="36" t="n">
        <v>175.474</v>
      </c>
      <c r="F10" s="36" t="n">
        <v>193.17</v>
      </c>
      <c r="G10" s="36" t="n">
        <v>214.511</v>
      </c>
      <c r="I10" s="36" t="n">
        <v>74.139</v>
      </c>
      <c r="J10" s="34" t="n">
        <f aca="false">I10</f>
        <v>74.139</v>
      </c>
      <c r="K10" s="31"/>
      <c r="L10" s="31"/>
      <c r="M10" s="31"/>
      <c r="N10" s="31"/>
      <c r="O10" s="31"/>
    </row>
    <row r="11" customFormat="false" ht="15" hidden="false" customHeight="false" outlineLevel="0" collapsed="false">
      <c r="B11" s="4" t="s">
        <v>314</v>
      </c>
      <c r="C11" s="17" t="s">
        <v>108</v>
      </c>
      <c r="D11" s="36" t="n">
        <v>38.015</v>
      </c>
      <c r="E11" s="36" t="n">
        <v>38.32</v>
      </c>
      <c r="F11" s="36" t="n">
        <v>40.756</v>
      </c>
      <c r="G11" s="36" t="n">
        <v>45.56</v>
      </c>
      <c r="I11" s="36" t="n">
        <v>49.687</v>
      </c>
      <c r="J11" s="34" t="n">
        <f aca="false">I11</f>
        <v>49.687</v>
      </c>
      <c r="K11" s="31"/>
      <c r="L11" s="31"/>
      <c r="M11" s="31"/>
      <c r="N11" s="31"/>
      <c r="O11" s="31"/>
    </row>
    <row r="12" customFormat="false" ht="15" hidden="false" customHeight="false" outlineLevel="0" collapsed="false">
      <c r="B12" s="4" t="s">
        <v>315</v>
      </c>
      <c r="C12" s="17" t="s">
        <v>108</v>
      </c>
      <c r="D12" s="36" t="n">
        <v>5.097</v>
      </c>
      <c r="E12" s="36" t="n">
        <v>3.262</v>
      </c>
      <c r="F12" s="36" t="n">
        <v>0</v>
      </c>
      <c r="G12" s="36" t="n">
        <v>13.774</v>
      </c>
      <c r="I12" s="36" t="n">
        <v>1.098</v>
      </c>
      <c r="J12" s="34" t="n">
        <f aca="false">I12</f>
        <v>1.098</v>
      </c>
      <c r="K12" s="31"/>
      <c r="L12" s="31"/>
      <c r="M12" s="31"/>
      <c r="N12" s="31"/>
      <c r="O12" s="31"/>
      <c r="P12" s="20" t="s">
        <v>316</v>
      </c>
    </row>
    <row r="13" customFormat="false" ht="15" hidden="false" customHeight="false" outlineLevel="0" collapsed="false">
      <c r="B13" s="4" t="s">
        <v>317</v>
      </c>
      <c r="C13" s="17" t="s">
        <v>108</v>
      </c>
      <c r="D13" s="36" t="n">
        <v>29.604</v>
      </c>
      <c r="E13" s="36" t="n">
        <v>35.172</v>
      </c>
      <c r="F13" s="36" t="n">
        <v>37.417</v>
      </c>
      <c r="G13" s="36" t="n">
        <v>42.922</v>
      </c>
      <c r="I13" s="36" t="n">
        <v>34.547</v>
      </c>
      <c r="J13" s="34" t="n">
        <f aca="false">I13</f>
        <v>34.547</v>
      </c>
      <c r="K13" s="31"/>
      <c r="L13" s="31"/>
      <c r="M13" s="31"/>
      <c r="N13" s="31"/>
      <c r="O13" s="31"/>
    </row>
    <row r="14" customFormat="false" ht="15" hidden="false" customHeight="false" outlineLevel="0" collapsed="false">
      <c r="B14" s="42" t="s">
        <v>318</v>
      </c>
      <c r="C14" s="43" t="s">
        <v>108</v>
      </c>
      <c r="D14" s="50" t="n">
        <f aca="false">SUM(D9:D13)</f>
        <v>396.841</v>
      </c>
      <c r="E14" s="50" t="n">
        <f aca="false">SUM(E9:E13)</f>
        <v>356.474</v>
      </c>
      <c r="F14" s="50" t="n">
        <f aca="false">SUM(F9:F13)</f>
        <v>516.568</v>
      </c>
      <c r="G14" s="50" t="n">
        <f aca="false">SUM(G9:G13)</f>
        <v>451.476</v>
      </c>
      <c r="H14" s="45"/>
      <c r="I14" s="50" t="n">
        <f aca="false">SUM(I9:I13)</f>
        <v>361.898</v>
      </c>
      <c r="J14" s="50" t="n">
        <f aca="false">SUM(J9:J13)</f>
        <v>361.898</v>
      </c>
      <c r="K14" s="49"/>
      <c r="L14" s="49"/>
      <c r="M14" s="49"/>
      <c r="N14" s="49"/>
      <c r="O14" s="49"/>
    </row>
    <row r="15" customFormat="false" ht="15" hidden="false" customHeight="false" outlineLevel="0" collapsed="false">
      <c r="B15" s="4" t="s">
        <v>319</v>
      </c>
      <c r="C15" s="17" t="s">
        <v>108</v>
      </c>
      <c r="D15" s="36" t="n">
        <v>1270.349</v>
      </c>
      <c r="E15" s="36" t="n">
        <v>1474.722</v>
      </c>
      <c r="F15" s="36" t="n">
        <v>1617.673</v>
      </c>
      <c r="G15" s="36" t="n">
        <v>1803.841</v>
      </c>
      <c r="I15" s="36" t="n">
        <v>1886.572</v>
      </c>
      <c r="J15" s="34" t="n">
        <f aca="false">I15</f>
        <v>1886.572</v>
      </c>
      <c r="K15" s="31"/>
      <c r="L15" s="31"/>
      <c r="M15" s="31"/>
      <c r="N15" s="31"/>
      <c r="O15" s="31"/>
      <c r="P15" s="20" t="s">
        <v>320</v>
      </c>
    </row>
    <row r="16" customFormat="false" ht="15" hidden="false" customHeight="false" outlineLevel="0" collapsed="false">
      <c r="B16" s="4" t="s">
        <v>321</v>
      </c>
      <c r="C16" s="17" t="s">
        <v>108</v>
      </c>
      <c r="D16" s="36" t="n">
        <v>630.258</v>
      </c>
      <c r="E16" s="36" t="n">
        <v>694.014</v>
      </c>
      <c r="F16" s="36" t="n">
        <v>769.865</v>
      </c>
      <c r="G16" s="36" t="n">
        <v>879.521</v>
      </c>
      <c r="I16" s="36" t="n">
        <v>942.11</v>
      </c>
      <c r="J16" s="34" t="n">
        <f aca="false">I16</f>
        <v>942.11</v>
      </c>
      <c r="K16" s="31"/>
      <c r="L16" s="31"/>
      <c r="M16" s="31"/>
      <c r="N16" s="31"/>
      <c r="O16" s="31"/>
    </row>
    <row r="17" customFormat="false" ht="15" hidden="false" customHeight="false" outlineLevel="0" collapsed="false">
      <c r="B17" s="4" t="s">
        <v>322</v>
      </c>
      <c r="C17" s="17" t="s">
        <v>108</v>
      </c>
      <c r="D17" s="36" t="n">
        <v>148.732</v>
      </c>
      <c r="E17" s="36" t="n">
        <v>169.684</v>
      </c>
      <c r="F17" s="36" t="n">
        <v>169.684</v>
      </c>
      <c r="G17" s="36" t="n">
        <v>242.22</v>
      </c>
      <c r="I17" s="36" t="n">
        <v>275.036</v>
      </c>
      <c r="J17" s="34" t="n">
        <f aca="false">I17</f>
        <v>275.036</v>
      </c>
      <c r="K17" s="31"/>
      <c r="L17" s="31"/>
      <c r="M17" s="31"/>
      <c r="N17" s="31"/>
      <c r="O17" s="31"/>
      <c r="P17" s="20" t="s">
        <v>323</v>
      </c>
    </row>
    <row r="18" customFormat="false" ht="15" hidden="false" customHeight="false" outlineLevel="0" collapsed="false">
      <c r="B18" s="4" t="s">
        <v>324</v>
      </c>
      <c r="C18" s="17" t="s">
        <v>108</v>
      </c>
      <c r="D18" s="36" t="n">
        <v>5.607</v>
      </c>
      <c r="E18" s="36" t="n">
        <v>3.483</v>
      </c>
      <c r="F18" s="36" t="n">
        <v>1.265</v>
      </c>
      <c r="G18" s="36" t="n">
        <v>17.742</v>
      </c>
      <c r="I18" s="36" t="n">
        <v>26.485</v>
      </c>
      <c r="J18" s="34" t="n">
        <f aca="false">I18</f>
        <v>26.485</v>
      </c>
      <c r="K18" s="31"/>
      <c r="L18" s="31"/>
      <c r="M18" s="31"/>
      <c r="N18" s="31"/>
      <c r="O18" s="31"/>
      <c r="P18" s="20" t="s">
        <v>325</v>
      </c>
    </row>
    <row r="19" customFormat="false" ht="15" hidden="false" customHeight="false" outlineLevel="0" collapsed="false">
      <c r="B19" s="4" t="s">
        <v>326</v>
      </c>
      <c r="C19" s="17" t="s">
        <v>108</v>
      </c>
      <c r="D19" s="36" t="n">
        <v>73.878</v>
      </c>
      <c r="E19" s="36" t="n">
        <v>94.999</v>
      </c>
      <c r="F19" s="36" t="n">
        <v>115.724</v>
      </c>
      <c r="G19" s="36" t="n">
        <v>154.672</v>
      </c>
      <c r="I19" s="36" t="n">
        <v>179.965</v>
      </c>
      <c r="J19" s="34" t="n">
        <f aca="false">I19</f>
        <v>179.965</v>
      </c>
      <c r="K19" s="31"/>
      <c r="L19" s="31"/>
      <c r="M19" s="31"/>
      <c r="N19" s="31"/>
      <c r="O19" s="31"/>
    </row>
    <row r="20" customFormat="false" ht="15" hidden="false" customHeight="false" outlineLevel="0" collapsed="false">
      <c r="B20" s="42" t="s">
        <v>327</v>
      </c>
      <c r="C20" s="43" t="s">
        <v>108</v>
      </c>
      <c r="D20" s="50" t="n">
        <f aca="false">D14+SUM(D15:D19)</f>
        <v>2525.665</v>
      </c>
      <c r="E20" s="50" t="n">
        <f aca="false">E14+SUM(E15:E19)</f>
        <v>2793.376</v>
      </c>
      <c r="F20" s="50" t="n">
        <f aca="false">F14+SUM(F15:F19)</f>
        <v>3190.779</v>
      </c>
      <c r="G20" s="50" t="n">
        <f aca="false">G14+SUM(G15:G19)</f>
        <v>3549.472</v>
      </c>
      <c r="H20" s="45"/>
      <c r="I20" s="50" t="n">
        <f aca="false">I14+SUM(I15:I19)</f>
        <v>3672.066</v>
      </c>
      <c r="J20" s="50" t="n">
        <f aca="false">J14+SUM(J15:J19)</f>
        <v>3672.066</v>
      </c>
      <c r="K20" s="49"/>
      <c r="L20" s="49"/>
      <c r="M20" s="49"/>
      <c r="N20" s="49"/>
      <c r="O20" s="49"/>
    </row>
    <row r="21" customFormat="false" ht="15" hidden="false" customHeight="false" outlineLevel="0" collapsed="false">
      <c r="B21" s="6" t="s">
        <v>328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customFormat="false" ht="15" hidden="false" customHeight="false" outlineLevel="0" collapsed="false">
      <c r="B22" s="4" t="s">
        <v>329</v>
      </c>
      <c r="C22" s="17" t="s">
        <v>108</v>
      </c>
      <c r="D22" s="36" t="n">
        <v>25.49</v>
      </c>
      <c r="E22" s="36" t="n">
        <v>27.411</v>
      </c>
      <c r="F22" s="36" t="n">
        <v>28.172</v>
      </c>
      <c r="G22" s="36" t="n">
        <v>30.953</v>
      </c>
      <c r="I22" s="36" t="n">
        <v>32.837</v>
      </c>
      <c r="J22" s="34" t="n">
        <f aca="false">I22</f>
        <v>32.837</v>
      </c>
      <c r="K22" s="31"/>
      <c r="L22" s="31"/>
      <c r="M22" s="31"/>
      <c r="N22" s="31"/>
      <c r="O22" s="31"/>
    </row>
    <row r="23" customFormat="false" ht="15" hidden="false" customHeight="false" outlineLevel="0" collapsed="false">
      <c r="B23" s="4" t="s">
        <v>138</v>
      </c>
      <c r="C23" s="17" t="s">
        <v>108</v>
      </c>
      <c r="D23" s="36" t="n">
        <v>105.56</v>
      </c>
      <c r="E23" s="36" t="n">
        <v>131.638</v>
      </c>
      <c r="F23" s="36" t="n">
        <v>144.791</v>
      </c>
      <c r="G23" s="36" t="n">
        <v>163.421</v>
      </c>
      <c r="I23" s="36" t="n">
        <v>179.035</v>
      </c>
      <c r="J23" s="34" t="n">
        <f aca="false">I23</f>
        <v>179.035</v>
      </c>
      <c r="K23" s="31"/>
      <c r="L23" s="31"/>
      <c r="M23" s="31"/>
      <c r="N23" s="31"/>
      <c r="O23" s="31"/>
    </row>
    <row r="24" customFormat="false" ht="15" hidden="false" customHeight="false" outlineLevel="0" collapsed="false">
      <c r="B24" s="4" t="s">
        <v>140</v>
      </c>
      <c r="C24" s="17" t="s">
        <v>108</v>
      </c>
      <c r="D24" s="36" t="n">
        <v>335.403</v>
      </c>
      <c r="E24" s="36" t="n">
        <v>373.913</v>
      </c>
      <c r="F24" s="36" t="n">
        <v>401.198</v>
      </c>
      <c r="G24" s="36" t="n">
        <v>448.744</v>
      </c>
      <c r="I24" s="36" t="n">
        <v>305.9</v>
      </c>
      <c r="J24" s="34" t="n">
        <f aca="false">I24</f>
        <v>305.9</v>
      </c>
      <c r="K24" s="31"/>
      <c r="L24" s="31"/>
      <c r="M24" s="31"/>
      <c r="N24" s="31"/>
      <c r="O24" s="31"/>
    </row>
    <row r="25" customFormat="false" ht="15" hidden="false" customHeight="false" outlineLevel="0" collapsed="false">
      <c r="B25" s="4" t="s">
        <v>142</v>
      </c>
      <c r="C25" s="17" t="s">
        <v>108</v>
      </c>
      <c r="D25" s="36" t="n">
        <v>54.544</v>
      </c>
      <c r="E25" s="36" t="n">
        <v>68.062</v>
      </c>
      <c r="F25" s="36" t="n">
        <v>101.981</v>
      </c>
      <c r="G25" s="36" t="n">
        <v>97.38</v>
      </c>
      <c r="I25" s="36" t="n">
        <v>102.384</v>
      </c>
      <c r="J25" s="34" t="n">
        <f aca="false">I25</f>
        <v>102.384</v>
      </c>
      <c r="K25" s="31"/>
      <c r="L25" s="31"/>
      <c r="M25" s="31"/>
      <c r="N25" s="31"/>
      <c r="O25" s="31"/>
    </row>
    <row r="26" customFormat="false" ht="15" hidden="false" customHeight="false" outlineLevel="0" collapsed="false">
      <c r="B26" s="4" t="s">
        <v>330</v>
      </c>
      <c r="C26" s="17" t="s">
        <v>108</v>
      </c>
      <c r="D26" s="36" t="n">
        <v>0.434</v>
      </c>
      <c r="E26" s="36" t="n">
        <v>0.112</v>
      </c>
      <c r="F26" s="36" t="n">
        <v>2.986</v>
      </c>
      <c r="G26" s="36" t="n">
        <v>0.123</v>
      </c>
      <c r="I26" s="36" t="n">
        <v>2.023</v>
      </c>
      <c r="J26" s="34" t="n">
        <f aca="false">I26</f>
        <v>2.023</v>
      </c>
      <c r="K26" s="31"/>
      <c r="L26" s="31"/>
      <c r="M26" s="31"/>
      <c r="N26" s="31"/>
      <c r="O26" s="31"/>
      <c r="P26" s="20" t="s">
        <v>331</v>
      </c>
    </row>
    <row r="27" customFormat="false" ht="15" hidden="false" customHeight="false" outlineLevel="0" collapsed="false">
      <c r="B27" s="4" t="s">
        <v>332</v>
      </c>
      <c r="C27" s="17" t="s">
        <v>108</v>
      </c>
      <c r="D27" s="36" t="n">
        <v>35.264</v>
      </c>
      <c r="E27" s="36" t="n">
        <v>42.758</v>
      </c>
      <c r="F27" s="36" t="n">
        <v>56.824</v>
      </c>
      <c r="G27" s="36" t="n">
        <v>53.421</v>
      </c>
      <c r="I27" s="36" t="n">
        <v>54.617</v>
      </c>
      <c r="J27" s="34" t="n">
        <f aca="false">I27</f>
        <v>54.617</v>
      </c>
      <c r="K27" s="31"/>
      <c r="L27" s="31"/>
      <c r="M27" s="31"/>
      <c r="N27" s="31"/>
      <c r="O27" s="31"/>
    </row>
    <row r="28" customFormat="false" ht="15" hidden="false" customHeight="false" outlineLevel="0" collapsed="false">
      <c r="B28" s="4" t="s">
        <v>146</v>
      </c>
      <c r="C28" s="17" t="s">
        <v>108</v>
      </c>
      <c r="D28" s="36" t="n">
        <v>95.315</v>
      </c>
      <c r="E28" s="36" t="n">
        <v>101.54</v>
      </c>
      <c r="F28" s="36" t="n">
        <v>92.178</v>
      </c>
      <c r="G28" s="36" t="n">
        <v>114.795</v>
      </c>
      <c r="I28" s="36" t="n">
        <v>113.997</v>
      </c>
      <c r="J28" s="34" t="n">
        <f aca="false">I28</f>
        <v>113.997</v>
      </c>
      <c r="K28" s="31"/>
      <c r="L28" s="31"/>
      <c r="M28" s="31"/>
      <c r="N28" s="31"/>
      <c r="O28" s="31"/>
    </row>
    <row r="29" customFormat="false" ht="15" hidden="false" customHeight="false" outlineLevel="0" collapsed="false">
      <c r="B29" s="42" t="s">
        <v>333</v>
      </c>
      <c r="C29" s="43" t="s">
        <v>108</v>
      </c>
      <c r="D29" s="50" t="n">
        <f aca="false">SUM(D22:D28)</f>
        <v>652.01</v>
      </c>
      <c r="E29" s="50" t="n">
        <f aca="false">SUM(E22:E28)</f>
        <v>745.434</v>
      </c>
      <c r="F29" s="50" t="n">
        <f aca="false">SUM(F22:F28)</f>
        <v>828.13</v>
      </c>
      <c r="G29" s="50" t="n">
        <f aca="false">SUM(G22:G28)</f>
        <v>908.837</v>
      </c>
      <c r="H29" s="45"/>
      <c r="I29" s="50" t="n">
        <f aca="false">SUM(I22:I28)</f>
        <v>790.793</v>
      </c>
      <c r="J29" s="50" t="n">
        <f aca="false">SUM(J22:J28)</f>
        <v>790.793</v>
      </c>
      <c r="K29" s="49"/>
      <c r="L29" s="49"/>
      <c r="M29" s="49"/>
      <c r="N29" s="49"/>
      <c r="O29" s="49"/>
    </row>
    <row r="30" customFormat="false" ht="15" hidden="false" customHeight="false" outlineLevel="0" collapsed="false">
      <c r="B30" s="4" t="s">
        <v>334</v>
      </c>
      <c r="C30" s="17" t="s">
        <v>108</v>
      </c>
      <c r="D30" s="36" t="n">
        <v>677.874</v>
      </c>
      <c r="E30" s="36" t="n">
        <v>743.476</v>
      </c>
      <c r="F30" s="36" t="n">
        <v>826.3</v>
      </c>
      <c r="G30" s="36" t="n">
        <v>943.07</v>
      </c>
      <c r="I30" s="36" t="n">
        <v>1004.717</v>
      </c>
      <c r="J30" s="34" t="n">
        <f aca="false">I30</f>
        <v>1004.717</v>
      </c>
      <c r="K30" s="31"/>
      <c r="L30" s="31"/>
      <c r="M30" s="31"/>
      <c r="N30" s="31"/>
      <c r="O30" s="31"/>
    </row>
    <row r="31" customFormat="false" ht="15" hidden="false" customHeight="false" outlineLevel="0" collapsed="false">
      <c r="B31" s="4" t="s">
        <v>335</v>
      </c>
      <c r="C31" s="17" t="s">
        <v>108</v>
      </c>
      <c r="D31" s="36" t="n">
        <v>50</v>
      </c>
      <c r="E31" s="36" t="n">
        <v>0</v>
      </c>
      <c r="F31" s="36" t="n">
        <v>0</v>
      </c>
      <c r="G31" s="36" t="n">
        <v>0</v>
      </c>
      <c r="I31" s="36" t="n">
        <v>50</v>
      </c>
      <c r="J31" s="34" t="n">
        <f aca="false">I31</f>
        <v>50</v>
      </c>
      <c r="K31" s="31"/>
      <c r="L31" s="31"/>
      <c r="M31" s="31"/>
      <c r="N31" s="31"/>
      <c r="O31" s="31"/>
    </row>
    <row r="32" customFormat="false" ht="15" hidden="false" customHeight="false" outlineLevel="0" collapsed="false">
      <c r="B32" s="4" t="s">
        <v>336</v>
      </c>
      <c r="C32" s="17" t="s">
        <v>108</v>
      </c>
      <c r="D32" s="36" t="n">
        <v>7.979</v>
      </c>
      <c r="E32" s="36" t="n">
        <v>8.893</v>
      </c>
      <c r="F32" s="36" t="n">
        <v>9.288</v>
      </c>
      <c r="G32" s="36" t="n">
        <v>9.525</v>
      </c>
      <c r="I32" s="36" t="n">
        <v>9.33</v>
      </c>
      <c r="J32" s="34" t="n">
        <f aca="false">I32</f>
        <v>9.33</v>
      </c>
      <c r="K32" s="31"/>
      <c r="L32" s="31"/>
      <c r="M32" s="31"/>
      <c r="N32" s="31"/>
      <c r="O32" s="31"/>
      <c r="P32" s="20" t="s">
        <v>331</v>
      </c>
    </row>
    <row r="33" customFormat="false" ht="15" hidden="false" customHeight="false" outlineLevel="0" collapsed="false">
      <c r="B33" s="4" t="s">
        <v>337</v>
      </c>
      <c r="C33" s="17" t="s">
        <v>108</v>
      </c>
      <c r="D33" s="36" t="n">
        <v>20.979</v>
      </c>
      <c r="E33" s="36" t="n">
        <v>23.104</v>
      </c>
      <c r="F33" s="36" t="n">
        <v>8.184</v>
      </c>
      <c r="G33" s="36" t="n">
        <v>14.682</v>
      </c>
      <c r="I33" s="36" t="n">
        <v>22.245</v>
      </c>
      <c r="J33" s="34" t="n">
        <f aca="false">I33</f>
        <v>22.245</v>
      </c>
      <c r="K33" s="31"/>
      <c r="L33" s="31"/>
      <c r="M33" s="31"/>
      <c r="N33" s="31"/>
      <c r="O33" s="31"/>
      <c r="P33" s="20" t="s">
        <v>338</v>
      </c>
    </row>
    <row r="34" customFormat="false" ht="15" hidden="false" customHeight="false" outlineLevel="0" collapsed="false">
      <c r="B34" s="4" t="s">
        <v>339</v>
      </c>
      <c r="C34" s="17" t="s">
        <v>108</v>
      </c>
      <c r="D34" s="36" t="n">
        <v>89.161</v>
      </c>
      <c r="E34" s="36" t="n">
        <v>114.958</v>
      </c>
      <c r="F34" s="36" t="n">
        <v>145.154</v>
      </c>
      <c r="G34" s="36" t="n">
        <v>191.656</v>
      </c>
      <c r="I34" s="36" t="n">
        <v>215.187</v>
      </c>
      <c r="J34" s="34" t="n">
        <f aca="false">I34</f>
        <v>215.187</v>
      </c>
      <c r="K34" s="31"/>
      <c r="L34" s="31"/>
      <c r="M34" s="31"/>
      <c r="N34" s="31"/>
      <c r="O34" s="31"/>
    </row>
    <row r="35" customFormat="false" ht="15" hidden="false" customHeight="false" outlineLevel="0" collapsed="false">
      <c r="B35" s="42" t="s">
        <v>340</v>
      </c>
      <c r="C35" s="43" t="s">
        <v>108</v>
      </c>
      <c r="D35" s="50" t="n">
        <f aca="false">D29+SUM(D30:D34)</f>
        <v>1498.003</v>
      </c>
      <c r="E35" s="50" t="n">
        <f aca="false">E29+SUM(E30:E34)</f>
        <v>1635.865</v>
      </c>
      <c r="F35" s="50" t="n">
        <f aca="false">F29+SUM(F30:F34)</f>
        <v>1817.056</v>
      </c>
      <c r="G35" s="50" t="n">
        <f aca="false">G29+SUM(G30:G34)</f>
        <v>2067.77</v>
      </c>
      <c r="H35" s="45"/>
      <c r="I35" s="50" t="n">
        <f aca="false">I29+SUM(I30:I34)</f>
        <v>2092.272</v>
      </c>
      <c r="J35" s="50" t="n">
        <f aca="false">J29+SUM(J30:J34)</f>
        <v>2092.272</v>
      </c>
      <c r="K35" s="49"/>
      <c r="L35" s="49"/>
      <c r="M35" s="49"/>
      <c r="N35" s="49"/>
      <c r="O35" s="49"/>
    </row>
    <row r="36" customFormat="false" ht="15" hidden="false" customHeight="false" outlineLevel="0" collapsed="false">
      <c r="B36" s="6" t="s">
        <v>341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customFormat="false" ht="15" hidden="false" customHeight="false" outlineLevel="0" collapsed="false">
      <c r="B37" s="4" t="s">
        <v>342</v>
      </c>
      <c r="C37" s="17" t="s">
        <v>108</v>
      </c>
      <c r="D37" s="36" t="n">
        <v>13.206</v>
      </c>
      <c r="E37" s="36" t="n">
        <v>0.067</v>
      </c>
      <c r="F37" s="36" t="n">
        <v>0.067</v>
      </c>
      <c r="G37" s="36" t="n">
        <v>0.066</v>
      </c>
      <c r="I37" s="36" t="n">
        <v>0.066</v>
      </c>
      <c r="J37" s="34" t="n">
        <f aca="false">I37</f>
        <v>0.066</v>
      </c>
      <c r="K37" s="31"/>
      <c r="L37" s="31"/>
      <c r="M37" s="31"/>
      <c r="N37" s="31"/>
      <c r="O37" s="31"/>
      <c r="P37" s="20" t="s">
        <v>343</v>
      </c>
    </row>
    <row r="38" customFormat="false" ht="15" hidden="false" customHeight="false" outlineLevel="0" collapsed="false">
      <c r="B38" s="4" t="s">
        <v>344</v>
      </c>
      <c r="C38" s="17" t="s">
        <v>108</v>
      </c>
      <c r="D38" s="36" t="n">
        <v>999.432</v>
      </c>
      <c r="E38" s="36" t="n">
        <v>1141.595</v>
      </c>
      <c r="F38" s="36" t="n">
        <v>1358.28</v>
      </c>
      <c r="G38" s="36" t="n">
        <v>1460.754</v>
      </c>
      <c r="I38" s="36" t="n">
        <v>1558.576</v>
      </c>
      <c r="J38" s="34" t="n">
        <f aca="false">I38</f>
        <v>1558.576</v>
      </c>
      <c r="K38" s="31"/>
      <c r="L38" s="31"/>
      <c r="M38" s="31"/>
      <c r="N38" s="31"/>
      <c r="O38" s="31"/>
      <c r="P38" s="20" t="s">
        <v>345</v>
      </c>
    </row>
    <row r="39" customFormat="false" ht="15" hidden="false" customHeight="false" outlineLevel="0" collapsed="false">
      <c r="B39" s="4" t="s">
        <v>346</v>
      </c>
      <c r="C39" s="17" t="s">
        <v>108</v>
      </c>
      <c r="D39" s="36" t="n">
        <v>0</v>
      </c>
      <c r="E39" s="36" t="n">
        <v>0</v>
      </c>
      <c r="F39" s="36" t="n">
        <v>0</v>
      </c>
      <c r="G39" s="36" t="n">
        <v>0</v>
      </c>
      <c r="I39" s="36" t="n">
        <v>-0.09</v>
      </c>
      <c r="J39" s="34" t="n">
        <f aca="false">I39</f>
        <v>-0.09</v>
      </c>
      <c r="K39" s="31"/>
      <c r="L39" s="31"/>
      <c r="M39" s="31"/>
      <c r="N39" s="31"/>
      <c r="O39" s="31"/>
    </row>
    <row r="40" customFormat="false" ht="15" hidden="false" customHeight="false" outlineLevel="0" collapsed="false">
      <c r="B40" s="42" t="s">
        <v>347</v>
      </c>
      <c r="C40" s="43" t="s">
        <v>108</v>
      </c>
      <c r="D40" s="50" t="n">
        <f aca="false">SUM(D37:D39)</f>
        <v>1012.638</v>
      </c>
      <c r="E40" s="50" t="n">
        <f aca="false">SUM(E37:E39)</f>
        <v>1141.662</v>
      </c>
      <c r="F40" s="50" t="n">
        <f aca="false">SUM(F37:F39)</f>
        <v>1358.347</v>
      </c>
      <c r="G40" s="50" t="n">
        <f aca="false">SUM(G37:G39)</f>
        <v>1460.82</v>
      </c>
      <c r="H40" s="45"/>
      <c r="I40" s="50" t="n">
        <f aca="false">SUM(I37:I39)</f>
        <v>1558.552</v>
      </c>
      <c r="J40" s="50" t="n">
        <f aca="false">SUM(J37:J39)</f>
        <v>1558.552</v>
      </c>
      <c r="K40" s="49"/>
      <c r="L40" s="49"/>
      <c r="M40" s="49"/>
      <c r="N40" s="49"/>
      <c r="O40" s="49"/>
    </row>
    <row r="41" customFormat="false" ht="15" hidden="false" customHeight="false" outlineLevel="0" collapsed="false">
      <c r="B41" s="4" t="s">
        <v>348</v>
      </c>
      <c r="C41" s="17" t="s">
        <v>108</v>
      </c>
      <c r="D41" s="36" t="n">
        <v>15.024</v>
      </c>
      <c r="E41" s="36" t="n">
        <v>15.849</v>
      </c>
      <c r="F41" s="36" t="n">
        <v>15.376</v>
      </c>
      <c r="G41" s="36" t="n">
        <v>20.882</v>
      </c>
      <c r="I41" s="36" t="n">
        <v>21.242</v>
      </c>
      <c r="J41" s="34" t="n">
        <f aca="false">I41</f>
        <v>21.242</v>
      </c>
      <c r="K41" s="31"/>
      <c r="L41" s="31"/>
      <c r="M41" s="31"/>
      <c r="N41" s="31"/>
      <c r="O41" s="31"/>
    </row>
    <row r="42" customFormat="false" ht="15" hidden="false" customHeight="false" outlineLevel="0" collapsed="false">
      <c r="B42" s="42" t="s">
        <v>349</v>
      </c>
      <c r="C42" s="43" t="s">
        <v>108</v>
      </c>
      <c r="D42" s="50" t="n">
        <f aca="false">D40+D41</f>
        <v>1027.662</v>
      </c>
      <c r="E42" s="50" t="n">
        <f aca="false">E40+E41</f>
        <v>1157.511</v>
      </c>
      <c r="F42" s="50" t="n">
        <f aca="false">F40+F41</f>
        <v>1373.723</v>
      </c>
      <c r="G42" s="50" t="n">
        <f aca="false">G40+G41</f>
        <v>1481.702</v>
      </c>
      <c r="H42" s="45"/>
      <c r="I42" s="50" t="n">
        <f aca="false">I40+I41</f>
        <v>1579.794</v>
      </c>
      <c r="J42" s="50" t="n">
        <f aca="false">J40+J41</f>
        <v>1579.794</v>
      </c>
      <c r="K42" s="49"/>
      <c r="L42" s="49"/>
      <c r="M42" s="49"/>
      <c r="N42" s="49"/>
      <c r="O42" s="49"/>
    </row>
    <row r="43" customFormat="false" ht="15" hidden="false" customHeight="false" outlineLevel="0" collapsed="false">
      <c r="B43" s="42" t="s">
        <v>350</v>
      </c>
      <c r="C43" s="43" t="s">
        <v>108</v>
      </c>
      <c r="D43" s="50" t="n">
        <f aca="false">D35+D42</f>
        <v>2525.665</v>
      </c>
      <c r="E43" s="50" t="n">
        <f aca="false">E35+E42</f>
        <v>2793.376</v>
      </c>
      <c r="F43" s="50" t="n">
        <f aca="false">F35+F42</f>
        <v>3190.779</v>
      </c>
      <c r="G43" s="50" t="n">
        <f aca="false">G35+G42</f>
        <v>3549.472</v>
      </c>
      <c r="H43" s="45"/>
      <c r="I43" s="50" t="n">
        <f aca="false">I35+I42</f>
        <v>3672.066</v>
      </c>
      <c r="J43" s="50" t="n">
        <f aca="false">J35+J42</f>
        <v>3672.066</v>
      </c>
      <c r="K43" s="49"/>
      <c r="L43" s="49"/>
      <c r="M43" s="49"/>
      <c r="N43" s="49"/>
      <c r="O43" s="49"/>
    </row>
    <row r="44" customFormat="false" ht="15" hidden="false" customHeight="false" outlineLevel="0" collapsed="false">
      <c r="B44" s="4" t="s">
        <v>351</v>
      </c>
      <c r="C44" s="17" t="s">
        <v>108</v>
      </c>
      <c r="D44" s="54" t="n">
        <f aca="false">D20-D43</f>
        <v>0</v>
      </c>
      <c r="E44" s="54" t="n">
        <f aca="false">E20-E43</f>
        <v>0</v>
      </c>
      <c r="F44" s="54" t="n">
        <f aca="false">F20-F43</f>
        <v>0</v>
      </c>
      <c r="G44" s="54" t="n">
        <f aca="false">G20-G43</f>
        <v>0</v>
      </c>
      <c r="I44" s="54" t="n">
        <f aca="false">I20-I43</f>
        <v>0</v>
      </c>
      <c r="J44" s="54" t="n">
        <f aca="false">J20-J43</f>
        <v>0</v>
      </c>
      <c r="K44" s="54" t="n">
        <f aca="false">K20-K43</f>
        <v>0</v>
      </c>
      <c r="L44" s="54" t="n">
        <f aca="false">L20-L43</f>
        <v>0</v>
      </c>
      <c r="M44" s="54" t="n">
        <f aca="false">M20-M43</f>
        <v>0</v>
      </c>
      <c r="N44" s="54" t="n">
        <f aca="false">N20-N43</f>
        <v>0</v>
      </c>
      <c r="O44" s="54" t="n">
        <f aca="false">O20-O43</f>
        <v>0</v>
      </c>
      <c r="P44" s="20" t="s">
        <v>352</v>
      </c>
    </row>
    <row r="46" customFormat="false" ht="15" hidden="false" customHeight="false" outlineLevel="0" collapsed="false">
      <c r="B46" s="6" t="s">
        <v>353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customFormat="false" ht="15" hidden="false" customHeight="false" outlineLevel="0" collapsed="false">
      <c r="B47" s="4" t="s">
        <v>354</v>
      </c>
      <c r="C47" s="17" t="s">
        <v>169</v>
      </c>
      <c r="D47" s="36" t="n">
        <v>66.973311</v>
      </c>
      <c r="E47" s="36" t="n">
        <v>66.789464</v>
      </c>
      <c r="F47" s="36" t="n">
        <v>66.574626</v>
      </c>
      <c r="G47" s="36" t="n">
        <v>65.94373</v>
      </c>
      <c r="I47" s="36" t="n">
        <v>65.585589</v>
      </c>
      <c r="K47" s="31"/>
      <c r="L47" s="31"/>
      <c r="M47" s="31"/>
      <c r="N47" s="31"/>
      <c r="O47" s="31"/>
      <c r="P47" s="20" t="s">
        <v>355</v>
      </c>
    </row>
    <row r="48" customFormat="false" ht="15" hidden="false" customHeight="false" outlineLevel="0" collapsed="false">
      <c r="B48" s="4" t="s">
        <v>356</v>
      </c>
      <c r="C48" s="17" t="s">
        <v>108</v>
      </c>
      <c r="D48" s="34" t="n">
        <f aca="false">D22+D30</f>
        <v>703.364</v>
      </c>
      <c r="E48" s="34" t="n">
        <f aca="false">E22+E30</f>
        <v>770.887</v>
      </c>
      <c r="F48" s="34" t="n">
        <f aca="false">F22+F30</f>
        <v>854.472</v>
      </c>
      <c r="G48" s="34" t="n">
        <f aca="false">G22+G30</f>
        <v>974.023</v>
      </c>
      <c r="I48" s="34" t="n">
        <f aca="false">I22+I30</f>
        <v>1037.554</v>
      </c>
      <c r="J48" s="34" t="n">
        <f aca="false">J22+J30</f>
        <v>1037.554</v>
      </c>
      <c r="K48" s="31"/>
      <c r="L48" s="31"/>
      <c r="M48" s="31"/>
      <c r="N48" s="31"/>
      <c r="O48" s="31"/>
    </row>
    <row r="49" customFormat="false" ht="15" hidden="false" customHeight="false" outlineLevel="0" collapsed="false">
      <c r="B49" s="4" t="s">
        <v>357</v>
      </c>
      <c r="C49" s="17" t="s">
        <v>108</v>
      </c>
      <c r="D49" s="34" t="n">
        <f aca="false">D31-D9</f>
        <v>-123.861</v>
      </c>
      <c r="E49" s="34" t="n">
        <f aca="false">E31-E9</f>
        <v>-104.246</v>
      </c>
      <c r="F49" s="34" t="n">
        <f aca="false">F31-F9</f>
        <v>-245.225</v>
      </c>
      <c r="G49" s="34" t="n">
        <f aca="false">G31-G9</f>
        <v>-134.709</v>
      </c>
      <c r="I49" s="34" t="n">
        <f aca="false">I31-I9</f>
        <v>-152.427</v>
      </c>
      <c r="J49" s="34" t="n">
        <f aca="false">J31-J9</f>
        <v>-152.427</v>
      </c>
      <c r="K49" s="31"/>
      <c r="L49" s="31"/>
      <c r="M49" s="31"/>
      <c r="N49" s="31"/>
      <c r="O49" s="31"/>
    </row>
    <row r="50" customFormat="false" ht="15" hidden="false" customHeight="false" outlineLevel="0" collapsed="false">
      <c r="B50" s="4" t="s">
        <v>358</v>
      </c>
      <c r="C50" s="17" t="s">
        <v>88</v>
      </c>
      <c r="D50" s="55" t="n">
        <f aca="false">(D31+D48-D9)/(IS!D38+IS!D16)</f>
        <v>1.1053564207619</v>
      </c>
      <c r="E50" s="55" t="n">
        <f aca="false">(E31+E48-E9)/(IS!E38+IS!E16)</f>
        <v>1.14946625353259</v>
      </c>
      <c r="F50" s="55" t="n">
        <f aca="false">(F31+F48-F9)/(IS!F38+IS!F16)</f>
        <v>0.785885846374523</v>
      </c>
      <c r="G50" s="55" t="n">
        <f aca="false">(G31+G48-G9)/(IS!G38+IS!G16)</f>
        <v>1.08480407806116</v>
      </c>
      <c r="K50" s="56"/>
      <c r="L50" s="56"/>
      <c r="M50" s="56"/>
      <c r="N50" s="56"/>
      <c r="O50" s="56"/>
      <c r="P50" s="20" t="s">
        <v>359</v>
      </c>
    </row>
    <row r="52" customFormat="false" ht="15" hidden="false" customHeight="false" outlineLevel="0" collapsed="false">
      <c r="B52" s="6" t="s">
        <v>360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customFormat="false" ht="15" hidden="false" customHeight="false" outlineLevel="0" collapsed="false">
      <c r="B53" s="4" t="s">
        <v>361</v>
      </c>
      <c r="C53" s="17" t="s">
        <v>108</v>
      </c>
      <c r="D53" s="36" t="n">
        <v>2525.665</v>
      </c>
      <c r="E53" s="36" t="n">
        <v>2793.376</v>
      </c>
      <c r="F53" s="36" t="n">
        <v>3190.779</v>
      </c>
      <c r="G53" s="36" t="n">
        <v>3549.472</v>
      </c>
      <c r="I53" s="36" t="n">
        <v>3672.066</v>
      </c>
    </row>
    <row r="54" customFormat="false" ht="15" hidden="false" customHeight="false" outlineLevel="0" collapsed="false">
      <c r="B54" s="4" t="s">
        <v>300</v>
      </c>
      <c r="C54" s="17" t="s">
        <v>108</v>
      </c>
      <c r="D54" s="34" t="n">
        <f aca="false">D20-D53</f>
        <v>0</v>
      </c>
      <c r="E54" s="34" t="n">
        <f aca="false">E20-E53</f>
        <v>0</v>
      </c>
      <c r="F54" s="34" t="n">
        <f aca="false">F20-F53</f>
        <v>0</v>
      </c>
      <c r="G54" s="34" t="n">
        <f aca="false">G20-G53</f>
        <v>0</v>
      </c>
      <c r="I54" s="34" t="n">
        <f aca="false">I20-I53</f>
        <v>0</v>
      </c>
    </row>
    <row r="55" customFormat="false" ht="15" hidden="false" customHeight="false" outlineLevel="0" collapsed="false">
      <c r="B55" s="4" t="s">
        <v>362</v>
      </c>
      <c r="C55" s="17" t="s">
        <v>108</v>
      </c>
      <c r="D55" s="36" t="n">
        <v>1498.003</v>
      </c>
      <c r="E55" s="36" t="n">
        <v>1635.865</v>
      </c>
      <c r="F55" s="36" t="n">
        <v>1817.056</v>
      </c>
      <c r="G55" s="36" t="n">
        <v>2067.77</v>
      </c>
      <c r="I55" s="36" t="n">
        <v>2092.272</v>
      </c>
    </row>
    <row r="56" customFormat="false" ht="15" hidden="false" customHeight="false" outlineLevel="0" collapsed="false">
      <c r="B56" s="4" t="s">
        <v>300</v>
      </c>
      <c r="C56" s="17" t="s">
        <v>108</v>
      </c>
      <c r="D56" s="34" t="n">
        <f aca="false">D35-D55</f>
        <v>0</v>
      </c>
      <c r="E56" s="34" t="n">
        <f aca="false">E35-E55</f>
        <v>0</v>
      </c>
      <c r="F56" s="34" t="n">
        <f aca="false">F35-F55</f>
        <v>0</v>
      </c>
      <c r="G56" s="34" t="n">
        <f aca="false">G35-G55</f>
        <v>0</v>
      </c>
      <c r="I56" s="34" t="n">
        <f aca="false">I35-I55</f>
        <v>0</v>
      </c>
    </row>
    <row r="57" customFormat="false" ht="15" hidden="false" customHeight="false" outlineLevel="0" collapsed="false">
      <c r="B57" s="4" t="s">
        <v>363</v>
      </c>
      <c r="C57" s="17" t="s">
        <v>108</v>
      </c>
      <c r="D57" s="36" t="n">
        <v>1027.662</v>
      </c>
      <c r="E57" s="36" t="n">
        <v>1157.511</v>
      </c>
      <c r="F57" s="36" t="n">
        <v>1373.723</v>
      </c>
      <c r="G57" s="36" t="n">
        <v>1481.702</v>
      </c>
      <c r="I57" s="36" t="n">
        <v>1579.794</v>
      </c>
    </row>
    <row r="58" customFormat="false" ht="15" hidden="false" customHeight="false" outlineLevel="0" collapsed="false">
      <c r="B58" s="4" t="s">
        <v>300</v>
      </c>
      <c r="C58" s="17" t="s">
        <v>108</v>
      </c>
      <c r="D58" s="34" t="n">
        <f aca="false">D42-D57</f>
        <v>0</v>
      </c>
      <c r="E58" s="34" t="n">
        <f aca="false">E42-E57</f>
        <v>0</v>
      </c>
      <c r="F58" s="34" t="n">
        <f aca="false">F42-F57</f>
        <v>0</v>
      </c>
      <c r="G58" s="34" t="n">
        <f aca="false">G42-G57</f>
        <v>0</v>
      </c>
      <c r="I58" s="34" t="n">
        <f aca="false">I42-I57</f>
        <v>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364</v>
      </c>
    </row>
    <row r="2" customFormat="false" ht="15" hidden="false" customHeight="false" outlineLevel="0" collapsed="false">
      <c r="B2" s="10" t="s">
        <v>365</v>
      </c>
    </row>
    <row r="4" customFormat="false" ht="15" hidden="false" customHeight="false" outlineLevel="0" collapsed="false">
      <c r="B4" s="11" t="s">
        <v>65</v>
      </c>
      <c r="C4" s="11" t="s">
        <v>12</v>
      </c>
      <c r="D4" s="12" t="s">
        <v>66</v>
      </c>
      <c r="E4" s="12" t="s">
        <v>67</v>
      </c>
      <c r="F4" s="12" t="s">
        <v>68</v>
      </c>
      <c r="G4" s="12" t="s">
        <v>69</v>
      </c>
      <c r="H4" s="12" t="s">
        <v>70</v>
      </c>
      <c r="I4" s="12" t="s">
        <v>71</v>
      </c>
      <c r="J4" s="12" t="s">
        <v>72</v>
      </c>
      <c r="K4" s="12" t="s">
        <v>73</v>
      </c>
      <c r="L4" s="12" t="s">
        <v>74</v>
      </c>
      <c r="M4" s="12" t="s">
        <v>75</v>
      </c>
      <c r="N4" s="12" t="s">
        <v>76</v>
      </c>
      <c r="O4" s="12" t="s">
        <v>77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D5" s="15" t="n">
        <v>44922</v>
      </c>
      <c r="E5" s="15" t="n">
        <v>45286</v>
      </c>
      <c r="F5" s="15" t="n">
        <v>45657</v>
      </c>
      <c r="G5" s="15" t="n">
        <v>46021</v>
      </c>
      <c r="H5" s="15" t="n">
        <v>45839</v>
      </c>
      <c r="I5" s="15" t="n">
        <v>46203</v>
      </c>
      <c r="J5" s="15" t="n">
        <v>46203</v>
      </c>
      <c r="K5" s="15" t="n">
        <v>46385</v>
      </c>
      <c r="L5" s="15" t="n">
        <v>46749</v>
      </c>
      <c r="M5" s="15" t="n">
        <v>47113</v>
      </c>
      <c r="N5" s="15" t="n">
        <v>47477</v>
      </c>
      <c r="O5" s="15" t="n">
        <v>47848</v>
      </c>
      <c r="P5" s="14"/>
    </row>
    <row r="6" customFormat="false" ht="15" hidden="false" customHeight="false" outlineLevel="0" collapsed="false">
      <c r="B6" s="13" t="s">
        <v>80</v>
      </c>
      <c r="C6" s="14"/>
      <c r="D6" s="16" t="n">
        <v>52</v>
      </c>
      <c r="E6" s="16" t="n">
        <v>52</v>
      </c>
      <c r="F6" s="16" t="n">
        <v>53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53</v>
      </c>
      <c r="P6" s="14"/>
    </row>
    <row r="8" customFormat="false" ht="15" hidden="false" customHeight="false" outlineLevel="0" collapsed="false">
      <c r="B8" s="6" t="s">
        <v>366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367</v>
      </c>
      <c r="C9" s="17" t="s">
        <v>108</v>
      </c>
      <c r="D9" s="36" t="n">
        <v>277.597</v>
      </c>
      <c r="E9" s="36" t="n">
        <v>313.675</v>
      </c>
      <c r="F9" s="36" t="n">
        <v>444.345</v>
      </c>
      <c r="G9" s="36" t="n">
        <v>414.335</v>
      </c>
      <c r="H9" s="36" t="n">
        <v>242.752</v>
      </c>
      <c r="I9" s="36" t="n">
        <v>250.509</v>
      </c>
      <c r="J9" s="34" t="n">
        <f aca="false">G9+I9-H9</f>
        <v>422.092</v>
      </c>
      <c r="K9" s="31"/>
      <c r="L9" s="31"/>
      <c r="M9" s="31"/>
      <c r="N9" s="31"/>
      <c r="O9" s="31"/>
    </row>
    <row r="10" customFormat="false" ht="15" hidden="false" customHeight="false" outlineLevel="0" collapsed="false">
      <c r="B10" s="4" t="s">
        <v>267</v>
      </c>
      <c r="C10" s="17" t="s">
        <v>108</v>
      </c>
      <c r="D10" s="36" t="n">
        <v>137.237</v>
      </c>
      <c r="E10" s="36" t="n">
        <v>153.202</v>
      </c>
      <c r="F10" s="36" t="n">
        <v>178.157</v>
      </c>
      <c r="G10" s="36" t="n">
        <v>206.64</v>
      </c>
      <c r="H10" s="36" t="n">
        <v>99.544</v>
      </c>
      <c r="I10" s="36" t="n">
        <v>115.184</v>
      </c>
      <c r="J10" s="34" t="n">
        <f aca="false">G10+I10-H10</f>
        <v>222.28</v>
      </c>
      <c r="K10" s="31"/>
      <c r="L10" s="31"/>
      <c r="M10" s="31"/>
      <c r="N10" s="31"/>
      <c r="O10" s="31"/>
    </row>
    <row r="11" customFormat="false" ht="15" hidden="false" customHeight="false" outlineLevel="0" collapsed="false">
      <c r="B11" s="4" t="s">
        <v>368</v>
      </c>
      <c r="C11" s="17" t="s">
        <v>108</v>
      </c>
      <c r="D11" s="36" t="n">
        <v>9.456</v>
      </c>
      <c r="E11" s="36" t="n">
        <v>3.115</v>
      </c>
      <c r="F11" s="36" t="n">
        <v>-13.803</v>
      </c>
      <c r="G11" s="36" t="n">
        <v>7.025</v>
      </c>
      <c r="H11" s="36" t="n">
        <v>-6.467</v>
      </c>
      <c r="I11" s="36" t="n">
        <v>7.799</v>
      </c>
      <c r="J11" s="34" t="n">
        <f aca="false">G11+I11-H11</f>
        <v>21.291</v>
      </c>
      <c r="K11" s="31"/>
      <c r="L11" s="31"/>
      <c r="M11" s="31"/>
      <c r="N11" s="31"/>
      <c r="O11" s="31"/>
    </row>
    <row r="12" customFormat="false" ht="15" hidden="false" customHeight="false" outlineLevel="0" collapsed="false">
      <c r="B12" s="4" t="s">
        <v>369</v>
      </c>
      <c r="C12" s="17" t="s">
        <v>108</v>
      </c>
      <c r="D12" s="36" t="n">
        <v>5.206</v>
      </c>
      <c r="E12" s="36" t="n">
        <v>3.783</v>
      </c>
      <c r="F12" s="36" t="n">
        <v>3.572</v>
      </c>
      <c r="G12" s="36" t="n">
        <v>4.809</v>
      </c>
      <c r="H12" s="36" t="n">
        <v>3.475</v>
      </c>
      <c r="I12" s="36" t="n">
        <v>2.229</v>
      </c>
      <c r="J12" s="34" t="n">
        <f aca="false">G12+I12-H12</f>
        <v>3.563</v>
      </c>
      <c r="K12" s="31"/>
      <c r="L12" s="31"/>
      <c r="M12" s="31"/>
      <c r="N12" s="31"/>
      <c r="O12" s="31"/>
    </row>
    <row r="13" customFormat="false" ht="15" hidden="false" customHeight="false" outlineLevel="0" collapsed="false">
      <c r="B13" s="4" t="s">
        <v>370</v>
      </c>
      <c r="C13" s="17" t="s">
        <v>108</v>
      </c>
      <c r="D13" s="36" t="n">
        <v>1.77</v>
      </c>
      <c r="E13" s="36" t="n">
        <v>0.2</v>
      </c>
      <c r="F13" s="36" t="n">
        <v>0.845</v>
      </c>
      <c r="G13" s="36" t="n">
        <v>0.12</v>
      </c>
      <c r="H13" s="36" t="n">
        <v>0.039</v>
      </c>
      <c r="I13" s="36" t="n">
        <v>0.101</v>
      </c>
      <c r="J13" s="34" t="n">
        <f aca="false">G13+I13-H13</f>
        <v>0.182</v>
      </c>
      <c r="K13" s="31"/>
      <c r="L13" s="31"/>
      <c r="M13" s="31"/>
      <c r="N13" s="31"/>
      <c r="O13" s="31"/>
    </row>
    <row r="14" customFormat="false" ht="15" hidden="false" customHeight="false" outlineLevel="0" collapsed="false">
      <c r="B14" s="4" t="s">
        <v>276</v>
      </c>
      <c r="C14" s="17" t="s">
        <v>108</v>
      </c>
      <c r="D14" s="36" t="n">
        <v>-1.239</v>
      </c>
      <c r="E14" s="36" t="n">
        <v>-1.351</v>
      </c>
      <c r="F14" s="36" t="n">
        <v>-1.197</v>
      </c>
      <c r="G14" s="36" t="n">
        <v>-2.879</v>
      </c>
      <c r="H14" s="36" t="n">
        <v>-1.651</v>
      </c>
      <c r="I14" s="36" t="n">
        <v>-0.326</v>
      </c>
      <c r="J14" s="34" t="n">
        <f aca="false">G14+I14-H14</f>
        <v>-1.554</v>
      </c>
      <c r="K14" s="31"/>
      <c r="L14" s="31"/>
      <c r="M14" s="31"/>
      <c r="N14" s="31"/>
      <c r="O14" s="31"/>
    </row>
    <row r="15" customFormat="false" ht="15" hidden="false" customHeight="false" outlineLevel="0" collapsed="false">
      <c r="B15" s="4" t="s">
        <v>371</v>
      </c>
      <c r="C15" s="17" t="s">
        <v>108</v>
      </c>
      <c r="D15" s="36" t="n">
        <v>1.022</v>
      </c>
      <c r="E15" s="36" t="n">
        <v>0.689</v>
      </c>
      <c r="F15" s="36" t="n">
        <v>1.133</v>
      </c>
      <c r="G15" s="36" t="n">
        <v>0.865</v>
      </c>
      <c r="H15" s="36" t="n">
        <v>0.605</v>
      </c>
      <c r="I15" s="36" t="n">
        <v>0.3</v>
      </c>
      <c r="J15" s="34" t="n">
        <f aca="false">G15+I15-H15</f>
        <v>0.56</v>
      </c>
      <c r="K15" s="31"/>
      <c r="L15" s="31"/>
      <c r="M15" s="31"/>
      <c r="N15" s="31"/>
      <c r="O15" s="31"/>
    </row>
    <row r="16" customFormat="false" ht="15" hidden="false" customHeight="false" outlineLevel="0" collapsed="false">
      <c r="B16" s="4" t="s">
        <v>372</v>
      </c>
      <c r="C16" s="17" t="s">
        <v>108</v>
      </c>
      <c r="D16" s="36" t="n">
        <v>0.033</v>
      </c>
      <c r="E16" s="36" t="n">
        <v>-0.014</v>
      </c>
      <c r="F16" s="36" t="n">
        <v>-0.028</v>
      </c>
      <c r="G16" s="36" t="n">
        <v>0.005</v>
      </c>
      <c r="H16" s="36" t="n">
        <v>0.004</v>
      </c>
      <c r="I16" s="36" t="n">
        <v>0.02</v>
      </c>
      <c r="J16" s="34" t="n">
        <f aca="false">G16+I16-H16</f>
        <v>0.021</v>
      </c>
      <c r="K16" s="31"/>
      <c r="L16" s="31"/>
      <c r="M16" s="31"/>
      <c r="N16" s="31"/>
      <c r="O16" s="31"/>
    </row>
    <row r="17" customFormat="false" ht="15" hidden="false" customHeight="false" outlineLevel="0" collapsed="false">
      <c r="B17" s="4" t="s">
        <v>373</v>
      </c>
      <c r="C17" s="17" t="s">
        <v>108</v>
      </c>
      <c r="D17" s="36" t="n">
        <v>36.663</v>
      </c>
      <c r="E17" s="36" t="n">
        <v>34.23</v>
      </c>
      <c r="F17" s="36" t="n">
        <v>47.055</v>
      </c>
      <c r="G17" s="36" t="n">
        <v>47.765</v>
      </c>
      <c r="H17" s="36" t="n">
        <v>23.249</v>
      </c>
      <c r="I17" s="36" t="n">
        <v>26.902</v>
      </c>
      <c r="J17" s="34" t="n">
        <f aca="false">G17+I17-H17</f>
        <v>51.418</v>
      </c>
      <c r="K17" s="31"/>
      <c r="L17" s="31"/>
      <c r="M17" s="31"/>
      <c r="N17" s="31"/>
      <c r="O17" s="31"/>
    </row>
    <row r="18" customFormat="false" ht="15" hidden="false" customHeight="false" outlineLevel="0" collapsed="false">
      <c r="B18" s="4" t="s">
        <v>130</v>
      </c>
      <c r="C18" s="17" t="s">
        <v>108</v>
      </c>
      <c r="D18" s="36" t="n">
        <v>11.062</v>
      </c>
      <c r="E18" s="36" t="n">
        <v>-24.42</v>
      </c>
      <c r="F18" s="36" t="n">
        <v>-17.668</v>
      </c>
      <c r="G18" s="36" t="n">
        <v>-21.306</v>
      </c>
      <c r="H18" s="36" t="n">
        <v>128.182</v>
      </c>
      <c r="I18" s="36" t="n">
        <v>140.352</v>
      </c>
      <c r="J18" s="34" t="n">
        <f aca="false">G18+I18-H18</f>
        <v>-9.13599999999998</v>
      </c>
      <c r="K18" s="31"/>
      <c r="L18" s="31"/>
      <c r="M18" s="31"/>
      <c r="N18" s="31"/>
      <c r="O18" s="31"/>
    </row>
    <row r="19" customFormat="false" ht="15" hidden="false" customHeight="false" outlineLevel="0" collapsed="false">
      <c r="B19" s="4" t="s">
        <v>132</v>
      </c>
      <c r="C19" s="17" t="s">
        <v>108</v>
      </c>
      <c r="D19" s="36" t="n">
        <v>-6.099</v>
      </c>
      <c r="E19" s="36" t="n">
        <v>0.105</v>
      </c>
      <c r="F19" s="36" t="n">
        <v>-2.436</v>
      </c>
      <c r="G19" s="36" t="n">
        <v>-3.646</v>
      </c>
      <c r="H19" s="36" t="n">
        <v>-4.029</v>
      </c>
      <c r="I19" s="36" t="n">
        <v>-3.807</v>
      </c>
      <c r="J19" s="34" t="n">
        <f aca="false">G19+I19-H19</f>
        <v>-3.424</v>
      </c>
      <c r="K19" s="31"/>
      <c r="L19" s="31"/>
      <c r="M19" s="31"/>
      <c r="N19" s="31"/>
      <c r="O19" s="31"/>
    </row>
    <row r="20" customFormat="false" ht="15" hidden="false" customHeight="false" outlineLevel="0" collapsed="false">
      <c r="B20" s="4" t="s">
        <v>317</v>
      </c>
      <c r="C20" s="17" t="s">
        <v>108</v>
      </c>
      <c r="D20" s="36" t="n">
        <v>-6.54</v>
      </c>
      <c r="E20" s="36" t="n">
        <v>-5.612</v>
      </c>
      <c r="F20" s="36" t="n">
        <v>-2.245</v>
      </c>
      <c r="G20" s="36" t="n">
        <v>-4.634</v>
      </c>
      <c r="H20" s="36" t="n">
        <v>5.452</v>
      </c>
      <c r="I20" s="36" t="n">
        <v>9.14</v>
      </c>
      <c r="J20" s="34" t="n">
        <f aca="false">G20+I20-H20</f>
        <v>-0.946</v>
      </c>
      <c r="K20" s="31"/>
      <c r="L20" s="31"/>
      <c r="M20" s="31"/>
      <c r="N20" s="31"/>
      <c r="O20" s="31"/>
    </row>
    <row r="21" customFormat="false" ht="15" hidden="false" customHeight="false" outlineLevel="0" collapsed="false">
      <c r="B21" s="4" t="s">
        <v>326</v>
      </c>
      <c r="C21" s="17" t="s">
        <v>108</v>
      </c>
      <c r="D21" s="36" t="n">
        <v>5.775</v>
      </c>
      <c r="E21" s="36" t="n">
        <v>-22.617</v>
      </c>
      <c r="F21" s="36" t="n">
        <v>-20.097</v>
      </c>
      <c r="G21" s="36" t="n">
        <v>-32.358</v>
      </c>
      <c r="H21" s="36" t="n">
        <v>-21.682</v>
      </c>
      <c r="I21" s="36" t="n">
        <v>-19.742</v>
      </c>
      <c r="J21" s="34" t="n">
        <f aca="false">G21+I21-H21</f>
        <v>-30.418</v>
      </c>
      <c r="K21" s="31"/>
      <c r="L21" s="31"/>
      <c r="M21" s="31"/>
      <c r="N21" s="31"/>
      <c r="O21" s="31"/>
    </row>
    <row r="22" customFormat="false" ht="15" hidden="false" customHeight="false" outlineLevel="0" collapsed="false">
      <c r="B22" s="4" t="s">
        <v>138</v>
      </c>
      <c r="C22" s="17" t="s">
        <v>108</v>
      </c>
      <c r="D22" s="36" t="n">
        <v>5.408</v>
      </c>
      <c r="E22" s="36" t="n">
        <v>23.083</v>
      </c>
      <c r="F22" s="36" t="n">
        <v>13.142</v>
      </c>
      <c r="G22" s="36" t="n">
        <v>18.962</v>
      </c>
      <c r="H22" s="36" t="n">
        <v>1.323</v>
      </c>
      <c r="I22" s="36" t="n">
        <v>8.735</v>
      </c>
      <c r="J22" s="34" t="n">
        <f aca="false">G22+I22-H22</f>
        <v>26.374</v>
      </c>
      <c r="K22" s="31"/>
      <c r="L22" s="31"/>
      <c r="M22" s="31"/>
      <c r="N22" s="31"/>
      <c r="O22" s="31"/>
    </row>
    <row r="23" customFormat="false" ht="15" hidden="false" customHeight="false" outlineLevel="0" collapsed="false">
      <c r="B23" s="4" t="s">
        <v>140</v>
      </c>
      <c r="C23" s="17" t="s">
        <v>108</v>
      </c>
      <c r="D23" s="36" t="n">
        <v>33.799</v>
      </c>
      <c r="E23" s="36" t="n">
        <v>37.347</v>
      </c>
      <c r="F23" s="36" t="n">
        <v>27.285</v>
      </c>
      <c r="G23" s="36" t="n">
        <v>45.42</v>
      </c>
      <c r="H23" s="36" t="n">
        <v>-125.806</v>
      </c>
      <c r="I23" s="36" t="n">
        <v>-143.661</v>
      </c>
      <c r="J23" s="34" t="n">
        <f aca="false">G23+I23-H23</f>
        <v>27.565</v>
      </c>
      <c r="K23" s="31"/>
      <c r="L23" s="31"/>
      <c r="M23" s="31"/>
      <c r="N23" s="31"/>
      <c r="O23" s="31"/>
    </row>
    <row r="24" customFormat="false" ht="15" hidden="false" customHeight="false" outlineLevel="0" collapsed="false">
      <c r="B24" s="4" t="s">
        <v>142</v>
      </c>
      <c r="C24" s="17" t="s">
        <v>108</v>
      </c>
      <c r="D24" s="36" t="n">
        <v>-10.172</v>
      </c>
      <c r="E24" s="36" t="n">
        <v>13.518</v>
      </c>
      <c r="F24" s="36" t="n">
        <v>33.919</v>
      </c>
      <c r="G24" s="36" t="n">
        <v>-4.724</v>
      </c>
      <c r="H24" s="36" t="n">
        <v>-10.162</v>
      </c>
      <c r="I24" s="36" t="n">
        <v>5.004</v>
      </c>
      <c r="J24" s="34" t="n">
        <f aca="false">G24+I24-H24</f>
        <v>10.442</v>
      </c>
      <c r="K24" s="31"/>
      <c r="L24" s="31"/>
      <c r="M24" s="31"/>
      <c r="N24" s="31"/>
      <c r="O24" s="31"/>
    </row>
    <row r="25" customFormat="false" ht="15" hidden="false" customHeight="false" outlineLevel="0" collapsed="false">
      <c r="B25" s="4" t="s">
        <v>374</v>
      </c>
      <c r="C25" s="17" t="s">
        <v>108</v>
      </c>
      <c r="D25" s="36" t="n">
        <v>5.953</v>
      </c>
      <c r="E25" s="36" t="n">
        <v>1.514</v>
      </c>
      <c r="F25" s="36" t="n">
        <v>6.136</v>
      </c>
      <c r="G25" s="36" t="n">
        <v>-16.637</v>
      </c>
      <c r="H25" s="36" t="n">
        <v>-6.622</v>
      </c>
      <c r="I25" s="36" t="n">
        <v>14.576</v>
      </c>
      <c r="J25" s="34" t="n">
        <f aca="false">G25+I25-H25</f>
        <v>4.561</v>
      </c>
      <c r="K25" s="31"/>
      <c r="L25" s="31"/>
      <c r="M25" s="31"/>
      <c r="N25" s="31"/>
      <c r="O25" s="31"/>
    </row>
    <row r="26" customFormat="false" ht="15" hidden="false" customHeight="false" outlineLevel="0" collapsed="false">
      <c r="B26" s="4" t="s">
        <v>332</v>
      </c>
      <c r="C26" s="17" t="s">
        <v>108</v>
      </c>
      <c r="D26" s="36" t="n">
        <v>1.889</v>
      </c>
      <c r="E26" s="36" t="n">
        <v>6.581</v>
      </c>
      <c r="F26" s="36" t="n">
        <v>14.393</v>
      </c>
      <c r="G26" s="36" t="n">
        <v>-4.276</v>
      </c>
      <c r="H26" s="36" t="n">
        <v>-7.231</v>
      </c>
      <c r="I26" s="36" t="n">
        <v>1.926</v>
      </c>
      <c r="J26" s="34" t="n">
        <f aca="false">G26+I26-H26</f>
        <v>4.881</v>
      </c>
      <c r="K26" s="31"/>
      <c r="L26" s="31"/>
      <c r="M26" s="31"/>
      <c r="N26" s="31"/>
      <c r="O26" s="31"/>
    </row>
    <row r="27" customFormat="false" ht="15" hidden="false" customHeight="false" outlineLevel="0" collapsed="false">
      <c r="B27" s="4" t="s">
        <v>146</v>
      </c>
      <c r="C27" s="17" t="s">
        <v>108</v>
      </c>
      <c r="D27" s="36" t="n">
        <v>2.147</v>
      </c>
      <c r="E27" s="36" t="n">
        <v>-3.46</v>
      </c>
      <c r="F27" s="36" t="n">
        <v>2.842</v>
      </c>
      <c r="G27" s="36" t="n">
        <v>18.743</v>
      </c>
      <c r="H27" s="36" t="n">
        <v>13.87</v>
      </c>
      <c r="I27" s="36" t="n">
        <v>-4.958</v>
      </c>
      <c r="J27" s="34" t="n">
        <f aca="false">G27+I27-H27</f>
        <v>-0.0850000000000009</v>
      </c>
      <c r="K27" s="31"/>
      <c r="L27" s="31"/>
      <c r="M27" s="31"/>
      <c r="N27" s="31"/>
      <c r="O27" s="31"/>
    </row>
    <row r="28" customFormat="false" ht="15" hidden="false" customHeight="false" outlineLevel="0" collapsed="false">
      <c r="B28" s="4" t="s">
        <v>375</v>
      </c>
      <c r="C28" s="17" t="s">
        <v>108</v>
      </c>
      <c r="D28" s="36" t="n">
        <v>5.268</v>
      </c>
      <c r="E28" s="36" t="n">
        <v>6.313</v>
      </c>
      <c r="F28" s="36" t="n">
        <v>8.085</v>
      </c>
      <c r="G28" s="36" t="n">
        <v>9.337</v>
      </c>
      <c r="H28" s="36" t="n">
        <v>4.226</v>
      </c>
      <c r="I28" s="36" t="n">
        <v>5.412</v>
      </c>
      <c r="J28" s="34" t="n">
        <f aca="false">G28+I28-H28</f>
        <v>10.523</v>
      </c>
      <c r="K28" s="31"/>
      <c r="L28" s="31"/>
      <c r="M28" s="31"/>
      <c r="N28" s="31"/>
      <c r="O28" s="31"/>
      <c r="P28" s="20" t="s">
        <v>376</v>
      </c>
    </row>
    <row r="29" customFormat="false" ht="15" hidden="false" customHeight="false" outlineLevel="0" collapsed="false">
      <c r="B29" s="4" t="s">
        <v>339</v>
      </c>
      <c r="C29" s="17" t="s">
        <v>108</v>
      </c>
      <c r="D29" s="36" t="n">
        <v>-4.51</v>
      </c>
      <c r="E29" s="36" t="n">
        <v>25.103</v>
      </c>
      <c r="F29" s="36" t="n">
        <v>30.194</v>
      </c>
      <c r="G29" s="36" t="n">
        <v>46.501</v>
      </c>
      <c r="H29" s="36" t="n">
        <v>26.909</v>
      </c>
      <c r="I29" s="36" t="n">
        <v>23.532</v>
      </c>
      <c r="J29" s="34" t="n">
        <f aca="false">G29+I29-H29</f>
        <v>43.124</v>
      </c>
      <c r="K29" s="31"/>
      <c r="L29" s="31"/>
      <c r="M29" s="31"/>
      <c r="N29" s="31"/>
      <c r="O29" s="31"/>
    </row>
    <row r="30" customFormat="false" ht="15" hidden="false" customHeight="false" outlineLevel="0" collapsed="false">
      <c r="B30" s="42" t="s">
        <v>377</v>
      </c>
      <c r="C30" s="43" t="s">
        <v>108</v>
      </c>
      <c r="D30" s="50" t="n">
        <f aca="false">SUM(D9:D29)</f>
        <v>511.725</v>
      </c>
      <c r="E30" s="50" t="n">
        <f aca="false">SUM(E9:E29)</f>
        <v>564.984</v>
      </c>
      <c r="F30" s="50" t="n">
        <f aca="false">SUM(F9:F29)</f>
        <v>753.629</v>
      </c>
      <c r="G30" s="50" t="n">
        <f aca="false">SUM(G9:G29)</f>
        <v>730.067</v>
      </c>
      <c r="H30" s="50" t="n">
        <f aca="false">SUM(H9:H29)</f>
        <v>365.98</v>
      </c>
      <c r="I30" s="50" t="n">
        <f aca="false">SUM(I9:I29)</f>
        <v>439.227</v>
      </c>
      <c r="J30" s="50" t="n">
        <f aca="false">SUM(J9:J29)</f>
        <v>803.314</v>
      </c>
      <c r="K30" s="49"/>
      <c r="L30" s="49"/>
      <c r="M30" s="49"/>
      <c r="N30" s="49"/>
      <c r="O30" s="49"/>
    </row>
    <row r="31" customFormat="false" ht="15" hidden="false" customHeight="false" outlineLevel="0" collapsed="false">
      <c r="B31" s="4" t="s">
        <v>378</v>
      </c>
      <c r="C31" s="17" t="s">
        <v>108</v>
      </c>
      <c r="D31" s="34" t="n">
        <f aca="false">SUM(D18:D29)</f>
        <v>43.98</v>
      </c>
      <c r="E31" s="34" t="n">
        <f aca="false">SUM(E18:E29)</f>
        <v>57.455</v>
      </c>
      <c r="F31" s="34" t="n">
        <f aca="false">SUM(F18:F29)</f>
        <v>93.55</v>
      </c>
      <c r="G31" s="34" t="n">
        <f aca="false">SUM(G18:G29)</f>
        <v>51.382</v>
      </c>
      <c r="H31" s="34" t="n">
        <f aca="false">SUM(H18:H29)</f>
        <v>4.42999999999999</v>
      </c>
      <c r="I31" s="34" t="n">
        <f aca="false">SUM(I18:I29)</f>
        <v>36.509</v>
      </c>
      <c r="J31" s="34" t="n">
        <f aca="false">SUM(J18:J29)</f>
        <v>83.461</v>
      </c>
      <c r="K31" s="31"/>
      <c r="L31" s="31"/>
      <c r="M31" s="31"/>
      <c r="N31" s="31"/>
      <c r="O31" s="31"/>
      <c r="P31" s="20" t="s">
        <v>379</v>
      </c>
    </row>
    <row r="32" customFormat="false" ht="15" hidden="false" customHeight="false" outlineLevel="0" collapsed="false">
      <c r="B32" s="6" t="s">
        <v>380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15" hidden="false" customHeight="false" outlineLevel="0" collapsed="false">
      <c r="B33" s="4" t="s">
        <v>381</v>
      </c>
      <c r="C33" s="17" t="s">
        <v>108</v>
      </c>
      <c r="D33" s="36" t="n">
        <v>-246.121</v>
      </c>
      <c r="E33" s="36" t="n">
        <v>-347.034</v>
      </c>
      <c r="F33" s="36" t="n">
        <v>-354.341</v>
      </c>
      <c r="G33" s="36" t="n">
        <v>-387.996</v>
      </c>
      <c r="H33" s="36" t="n">
        <v>-169.912</v>
      </c>
      <c r="I33" s="36" t="n">
        <v>-178.845</v>
      </c>
      <c r="J33" s="34" t="n">
        <f aca="false">G33+I33-H33</f>
        <v>-396.929</v>
      </c>
      <c r="K33" s="31"/>
      <c r="L33" s="31"/>
      <c r="M33" s="31"/>
      <c r="N33" s="31"/>
      <c r="O33" s="31"/>
    </row>
    <row r="34" customFormat="false" ht="15" hidden="false" customHeight="false" outlineLevel="0" collapsed="false">
      <c r="B34" s="4" t="s">
        <v>382</v>
      </c>
      <c r="C34" s="17" t="s">
        <v>108</v>
      </c>
      <c r="D34" s="36" t="n">
        <v>-33.069</v>
      </c>
      <c r="E34" s="36" t="n">
        <v>-39.153</v>
      </c>
      <c r="F34" s="36" t="n">
        <v>0</v>
      </c>
      <c r="G34" s="36" t="n">
        <v>-113.528</v>
      </c>
      <c r="H34" s="36" t="n">
        <v>-93.878</v>
      </c>
      <c r="I34" s="36" t="n">
        <v>-71.778</v>
      </c>
      <c r="J34" s="34" t="n">
        <f aca="false">G34+I34-H34</f>
        <v>-91.428</v>
      </c>
      <c r="K34" s="31"/>
      <c r="L34" s="31"/>
      <c r="M34" s="31"/>
      <c r="N34" s="31"/>
      <c r="O34" s="31"/>
      <c r="P34" s="20" t="s">
        <v>383</v>
      </c>
    </row>
    <row r="35" customFormat="false" ht="15" hidden="false" customHeight="false" outlineLevel="0" collapsed="false">
      <c r="B35" s="4" t="s">
        <v>384</v>
      </c>
      <c r="C35" s="17" t="s">
        <v>108</v>
      </c>
      <c r="D35" s="36" t="n">
        <v>15.456</v>
      </c>
      <c r="E35" s="36" t="n">
        <v>19.02</v>
      </c>
      <c r="F35" s="36" t="n">
        <v>17.44</v>
      </c>
      <c r="G35" s="36" t="n">
        <v>18.71</v>
      </c>
      <c r="H35" s="36" t="n">
        <v>4.263</v>
      </c>
      <c r="I35" s="36" t="n">
        <v>8.64</v>
      </c>
      <c r="J35" s="34" t="n">
        <f aca="false">G35+I35-H35</f>
        <v>23.087</v>
      </c>
      <c r="K35" s="31"/>
      <c r="L35" s="31"/>
      <c r="M35" s="31"/>
      <c r="N35" s="31"/>
      <c r="O35" s="31"/>
      <c r="P35" s="20" t="s">
        <v>385</v>
      </c>
    </row>
    <row r="36" customFormat="false" ht="15" hidden="false" customHeight="false" outlineLevel="0" collapsed="false">
      <c r="B36" s="42" t="s">
        <v>386</v>
      </c>
      <c r="C36" s="43" t="s">
        <v>108</v>
      </c>
      <c r="D36" s="50" t="n">
        <f aca="false">SUM(D33:D35)</f>
        <v>-263.734</v>
      </c>
      <c r="E36" s="50" t="n">
        <f aca="false">SUM(E33:E35)</f>
        <v>-367.167</v>
      </c>
      <c r="F36" s="50" t="n">
        <f aca="false">SUM(F33:F35)</f>
        <v>-336.901</v>
      </c>
      <c r="G36" s="50" t="n">
        <f aca="false">SUM(G33:G35)</f>
        <v>-482.814</v>
      </c>
      <c r="H36" s="50" t="n">
        <f aca="false">SUM(H33:H35)</f>
        <v>-259.527</v>
      </c>
      <c r="I36" s="50" t="n">
        <f aca="false">SUM(I33:I35)</f>
        <v>-241.983</v>
      </c>
      <c r="J36" s="50" t="n">
        <f aca="false">SUM(J33:J35)</f>
        <v>-465.27</v>
      </c>
      <c r="K36" s="49"/>
      <c r="L36" s="49"/>
      <c r="M36" s="49"/>
      <c r="N36" s="49"/>
      <c r="O36" s="49"/>
    </row>
    <row r="37" customFormat="false" ht="15" hidden="false" customHeight="false" outlineLevel="0" collapsed="false">
      <c r="B37" s="6" t="s">
        <v>387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customFormat="false" ht="15" hidden="false" customHeight="false" outlineLevel="0" collapsed="false">
      <c r="B38" s="4" t="s">
        <v>388</v>
      </c>
      <c r="C38" s="17" t="s">
        <v>108</v>
      </c>
      <c r="D38" s="36" t="n">
        <v>-50</v>
      </c>
      <c r="E38" s="36" t="n">
        <v>-50</v>
      </c>
      <c r="F38" s="36" t="n">
        <v>0</v>
      </c>
      <c r="G38" s="36" t="n">
        <v>0</v>
      </c>
      <c r="H38" s="36" t="n">
        <v>0</v>
      </c>
      <c r="I38" s="36" t="n">
        <v>50</v>
      </c>
      <c r="J38" s="34" t="n">
        <f aca="false">G38+I38-H38</f>
        <v>50</v>
      </c>
      <c r="K38" s="31"/>
      <c r="L38" s="31"/>
      <c r="M38" s="31"/>
      <c r="N38" s="31"/>
      <c r="O38" s="31"/>
      <c r="P38" s="20" t="s">
        <v>389</v>
      </c>
    </row>
    <row r="39" customFormat="false" ht="15" hidden="false" customHeight="false" outlineLevel="0" collapsed="false">
      <c r="B39" s="4" t="s">
        <v>390</v>
      </c>
      <c r="C39" s="17" t="s">
        <v>108</v>
      </c>
      <c r="D39" s="36" t="n">
        <v>-9.51</v>
      </c>
      <c r="E39" s="36" t="n">
        <v>-7.974</v>
      </c>
      <c r="F39" s="36" t="n">
        <v>-15.64</v>
      </c>
      <c r="G39" s="36" t="n">
        <v>-6.52</v>
      </c>
      <c r="H39" s="36" t="n">
        <v>-4.953</v>
      </c>
      <c r="I39" s="36" t="n">
        <v>-4.783</v>
      </c>
      <c r="J39" s="34" t="n">
        <f aca="false">G39+I39-H39</f>
        <v>-6.35</v>
      </c>
      <c r="K39" s="31"/>
      <c r="L39" s="31"/>
      <c r="M39" s="31"/>
      <c r="N39" s="31"/>
      <c r="O39" s="31"/>
      <c r="P39" s="20" t="s">
        <v>391</v>
      </c>
    </row>
    <row r="40" customFormat="false" ht="15" hidden="false" customHeight="false" outlineLevel="0" collapsed="false">
      <c r="B40" s="4" t="s">
        <v>392</v>
      </c>
      <c r="C40" s="17" t="s">
        <v>108</v>
      </c>
      <c r="D40" s="36" t="n">
        <v>0.307</v>
      </c>
      <c r="E40" s="36" t="n">
        <v>0.405</v>
      </c>
      <c r="F40" s="36" t="n">
        <v>0.366</v>
      </c>
      <c r="G40" s="36" t="n">
        <v>-1.066</v>
      </c>
      <c r="H40" s="36" t="n">
        <v>-1.135</v>
      </c>
      <c r="I40" s="36" t="n">
        <v>0.433</v>
      </c>
      <c r="J40" s="34" t="n">
        <f aca="false">G40+I40-H40</f>
        <v>0.502</v>
      </c>
      <c r="K40" s="31"/>
      <c r="L40" s="31"/>
      <c r="M40" s="31"/>
      <c r="N40" s="31"/>
      <c r="O40" s="31"/>
    </row>
    <row r="41" customFormat="false" ht="15" hidden="false" customHeight="false" outlineLevel="0" collapsed="false">
      <c r="B41" s="4" t="s">
        <v>393</v>
      </c>
      <c r="C41" s="17" t="s">
        <v>108</v>
      </c>
      <c r="D41" s="36" t="n">
        <v>-13.576</v>
      </c>
      <c r="E41" s="36" t="n">
        <v>-12.688</v>
      </c>
      <c r="F41" s="36" t="n">
        <v>-17.608</v>
      </c>
      <c r="G41" s="36" t="n">
        <v>-19.484</v>
      </c>
      <c r="H41" s="36" t="n">
        <v>-18.083</v>
      </c>
      <c r="I41" s="36" t="n">
        <v>-4.668</v>
      </c>
      <c r="J41" s="34" t="n">
        <f aca="false">G41+I41-H41</f>
        <v>-6.069</v>
      </c>
      <c r="K41" s="31"/>
      <c r="L41" s="31"/>
      <c r="M41" s="31"/>
      <c r="N41" s="31"/>
      <c r="O41" s="31"/>
    </row>
    <row r="42" customFormat="false" ht="15" hidden="false" customHeight="false" outlineLevel="0" collapsed="false">
      <c r="B42" s="4" t="s">
        <v>394</v>
      </c>
      <c r="C42" s="17" t="s">
        <v>108</v>
      </c>
      <c r="D42" s="36" t="n">
        <v>-212.859</v>
      </c>
      <c r="E42" s="36" t="n">
        <v>-49.993</v>
      </c>
      <c r="F42" s="36" t="n">
        <v>-80.003</v>
      </c>
      <c r="G42" s="36" t="n">
        <v>-150.437</v>
      </c>
      <c r="H42" s="36" t="n">
        <v>-60.414</v>
      </c>
      <c r="I42" s="36" t="n">
        <v>-71.845</v>
      </c>
      <c r="J42" s="34" t="n">
        <f aca="false">G42+I42-H42</f>
        <v>-161.868</v>
      </c>
      <c r="K42" s="31"/>
      <c r="L42" s="31"/>
      <c r="M42" s="31"/>
      <c r="N42" s="31"/>
      <c r="O42" s="31"/>
    </row>
    <row r="43" customFormat="false" ht="15" hidden="false" customHeight="false" outlineLevel="0" collapsed="false">
      <c r="B43" s="4" t="s">
        <v>395</v>
      </c>
      <c r="C43" s="17" t="s">
        <v>108</v>
      </c>
      <c r="D43" s="36" t="n">
        <v>-124.137</v>
      </c>
      <c r="E43" s="36" t="n">
        <v>-147.182</v>
      </c>
      <c r="F43" s="36" t="n">
        <v>-162.864</v>
      </c>
      <c r="G43" s="36" t="n">
        <v>-180.262</v>
      </c>
      <c r="H43" s="36" t="n">
        <v>-90.292</v>
      </c>
      <c r="I43" s="36" t="n">
        <v>-98.663</v>
      </c>
      <c r="J43" s="34" t="n">
        <f aca="false">G43+I43-H43</f>
        <v>-188.633</v>
      </c>
      <c r="K43" s="31"/>
      <c r="L43" s="31"/>
      <c r="M43" s="31"/>
      <c r="N43" s="31"/>
      <c r="O43" s="31"/>
      <c r="P43" s="20" t="s">
        <v>396</v>
      </c>
    </row>
    <row r="44" customFormat="false" ht="15" hidden="false" customHeight="false" outlineLevel="0" collapsed="false">
      <c r="B44" s="42" t="s">
        <v>397</v>
      </c>
      <c r="C44" s="43" t="s">
        <v>108</v>
      </c>
      <c r="D44" s="50" t="n">
        <f aca="false">SUM(D38:D43)</f>
        <v>-409.775</v>
      </c>
      <c r="E44" s="50" t="n">
        <f aca="false">SUM(E38:E43)</f>
        <v>-267.432</v>
      </c>
      <c r="F44" s="50" t="n">
        <f aca="false">SUM(F38:F43)</f>
        <v>-275.749</v>
      </c>
      <c r="G44" s="50" t="n">
        <f aca="false">SUM(G38:G43)</f>
        <v>-357.769</v>
      </c>
      <c r="H44" s="50" t="n">
        <f aca="false">SUM(H38:H43)</f>
        <v>-174.877</v>
      </c>
      <c r="I44" s="50" t="n">
        <f aca="false">SUM(I38:I43)</f>
        <v>-129.526</v>
      </c>
      <c r="J44" s="50" t="n">
        <f aca="false">SUM(J38:J43)</f>
        <v>-312.418</v>
      </c>
      <c r="K44" s="49"/>
      <c r="L44" s="49"/>
      <c r="M44" s="49"/>
      <c r="N44" s="49"/>
      <c r="O44" s="49"/>
    </row>
    <row r="45" customFormat="false" ht="15" hidden="false" customHeight="false" outlineLevel="0" collapsed="false">
      <c r="B45" s="6" t="s">
        <v>398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customFormat="false" ht="15" hidden="false" customHeight="false" outlineLevel="0" collapsed="false">
      <c r="B46" s="42" t="s">
        <v>399</v>
      </c>
      <c r="C46" s="43" t="s">
        <v>108</v>
      </c>
      <c r="D46" s="50" t="n">
        <f aca="false">D30+D36+D44</f>
        <v>-161.784</v>
      </c>
      <c r="E46" s="50" t="n">
        <f aca="false">E30+E36+E44</f>
        <v>-69.615</v>
      </c>
      <c r="F46" s="50" t="n">
        <f aca="false">F30+F36+F44</f>
        <v>140.979</v>
      </c>
      <c r="G46" s="50" t="n">
        <f aca="false">G30+G36+G44</f>
        <v>-110.516</v>
      </c>
      <c r="H46" s="50" t="n">
        <f aca="false">H30+H36+H44</f>
        <v>-68.424</v>
      </c>
      <c r="I46" s="50" t="n">
        <f aca="false">I30+I36+I44</f>
        <v>67.718</v>
      </c>
      <c r="J46" s="50" t="n">
        <f aca="false">J30+J36+J44</f>
        <v>25.626</v>
      </c>
      <c r="K46" s="49"/>
      <c r="L46" s="49"/>
      <c r="M46" s="49"/>
      <c r="N46" s="49"/>
      <c r="O46" s="49"/>
    </row>
    <row r="47" customFormat="false" ht="15" hidden="false" customHeight="false" outlineLevel="0" collapsed="false">
      <c r="B47" s="4" t="s">
        <v>400</v>
      </c>
      <c r="C47" s="17" t="s">
        <v>108</v>
      </c>
      <c r="D47" s="36" t="n">
        <v>335.645</v>
      </c>
      <c r="E47" s="34" t="n">
        <f aca="false">D48</f>
        <v>173.861</v>
      </c>
      <c r="F47" s="34" t="n">
        <f aca="false">E48</f>
        <v>104.246</v>
      </c>
      <c r="G47" s="34" t="n">
        <f aca="false">F48</f>
        <v>245.225</v>
      </c>
      <c r="H47" s="34" t="n">
        <f aca="false">F48</f>
        <v>245.225</v>
      </c>
      <c r="I47" s="34" t="n">
        <f aca="false">G48</f>
        <v>134.709</v>
      </c>
      <c r="J47" s="36" t="n">
        <v>176.801</v>
      </c>
      <c r="K47" s="31"/>
      <c r="L47" s="31"/>
      <c r="M47" s="31"/>
      <c r="N47" s="31"/>
      <c r="O47" s="31"/>
      <c r="P47" s="20" t="s">
        <v>401</v>
      </c>
    </row>
    <row r="48" customFormat="false" ht="15" hidden="false" customHeight="false" outlineLevel="0" collapsed="false">
      <c r="B48" s="42" t="s">
        <v>402</v>
      </c>
      <c r="C48" s="43" t="s">
        <v>108</v>
      </c>
      <c r="D48" s="50" t="n">
        <f aca="false">D47+D46</f>
        <v>173.861</v>
      </c>
      <c r="E48" s="50" t="n">
        <f aca="false">E47+E46</f>
        <v>104.246</v>
      </c>
      <c r="F48" s="50" t="n">
        <f aca="false">F47+F46</f>
        <v>245.225</v>
      </c>
      <c r="G48" s="50" t="n">
        <f aca="false">G47+G46</f>
        <v>134.709</v>
      </c>
      <c r="H48" s="50" t="n">
        <f aca="false">H47+H46</f>
        <v>176.801</v>
      </c>
      <c r="I48" s="50" t="n">
        <f aca="false">I47+I46</f>
        <v>202.427</v>
      </c>
      <c r="J48" s="50" t="n">
        <f aca="false">J47+J46</f>
        <v>202.427</v>
      </c>
      <c r="K48" s="49"/>
      <c r="L48" s="49"/>
      <c r="M48" s="49"/>
      <c r="N48" s="49"/>
      <c r="O48" s="49"/>
    </row>
    <row r="49" customFormat="false" ht="15" hidden="false" customHeight="false" outlineLevel="0" collapsed="false">
      <c r="B49" s="4" t="s">
        <v>403</v>
      </c>
      <c r="C49" s="17" t="s">
        <v>108</v>
      </c>
      <c r="K49" s="31"/>
      <c r="L49" s="31"/>
      <c r="M49" s="31"/>
      <c r="N49" s="31"/>
      <c r="O49" s="31"/>
    </row>
    <row r="50" customFormat="false" ht="15" hidden="false" customHeight="false" outlineLevel="0" collapsed="false">
      <c r="B50" s="4" t="s">
        <v>404</v>
      </c>
      <c r="C50" s="17" t="s">
        <v>108</v>
      </c>
      <c r="D50" s="34" t="n">
        <f aca="false">D30+D33</f>
        <v>265.604</v>
      </c>
      <c r="E50" s="34" t="n">
        <f aca="false">E30+E33</f>
        <v>217.95</v>
      </c>
      <c r="F50" s="34" t="n">
        <f aca="false">F30+F33</f>
        <v>399.288</v>
      </c>
      <c r="G50" s="34" t="n">
        <f aca="false">G30+G33</f>
        <v>342.071</v>
      </c>
      <c r="H50" s="34" t="n">
        <f aca="false">H30+H33</f>
        <v>196.068</v>
      </c>
      <c r="I50" s="34" t="n">
        <f aca="false">I30+I33</f>
        <v>260.382</v>
      </c>
      <c r="J50" s="34" t="n">
        <f aca="false">J30+J33</f>
        <v>406.385</v>
      </c>
      <c r="K50" s="31"/>
      <c r="L50" s="31"/>
      <c r="M50" s="31"/>
      <c r="N50" s="31"/>
      <c r="O50" s="31"/>
    </row>
    <row r="52" customFormat="false" ht="15" hidden="false" customHeight="false" outlineLevel="0" collapsed="false">
      <c r="B52" s="6" t="s">
        <v>360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customFormat="false" ht="15" hidden="false" customHeight="false" outlineLevel="0" collapsed="false">
      <c r="B53" s="4" t="s">
        <v>405</v>
      </c>
      <c r="C53" s="17" t="s">
        <v>108</v>
      </c>
      <c r="D53" s="36" t="n">
        <v>511.725</v>
      </c>
      <c r="E53" s="36" t="n">
        <v>564.984</v>
      </c>
      <c r="F53" s="36" t="n">
        <v>753.629</v>
      </c>
      <c r="G53" s="36" t="n">
        <v>730.067</v>
      </c>
      <c r="H53" s="36" t="n">
        <v>365.98</v>
      </c>
      <c r="I53" s="36" t="n">
        <v>439.227</v>
      </c>
    </row>
    <row r="54" customFormat="false" ht="15" hidden="false" customHeight="false" outlineLevel="0" collapsed="false">
      <c r="B54" s="4" t="s">
        <v>300</v>
      </c>
      <c r="C54" s="17" t="s">
        <v>108</v>
      </c>
      <c r="D54" s="34" t="n">
        <f aca="false">D30-D53</f>
        <v>0</v>
      </c>
      <c r="E54" s="34" t="n">
        <f aca="false">E30-E53</f>
        <v>0</v>
      </c>
      <c r="F54" s="34" t="n">
        <f aca="false">F30-F53</f>
        <v>0</v>
      </c>
      <c r="G54" s="34" t="n">
        <f aca="false">G30-G53</f>
        <v>0</v>
      </c>
      <c r="H54" s="34" t="n">
        <f aca="false">H30-H53</f>
        <v>0</v>
      </c>
      <c r="I54" s="34" t="n">
        <f aca="false">I30-I53</f>
        <v>0</v>
      </c>
    </row>
    <row r="55" customFormat="false" ht="15" hidden="false" customHeight="false" outlineLevel="0" collapsed="false">
      <c r="B55" s="4" t="s">
        <v>406</v>
      </c>
      <c r="C55" s="17" t="s">
        <v>108</v>
      </c>
      <c r="D55" s="36" t="n">
        <v>-263.734</v>
      </c>
      <c r="E55" s="36" t="n">
        <v>-367.167</v>
      </c>
      <c r="F55" s="36" t="n">
        <v>-336.901</v>
      </c>
      <c r="G55" s="36" t="n">
        <v>-482.814</v>
      </c>
      <c r="H55" s="36" t="n">
        <v>-259.527</v>
      </c>
      <c r="I55" s="36" t="n">
        <v>-241.983</v>
      </c>
    </row>
    <row r="56" customFormat="false" ht="15" hidden="false" customHeight="false" outlineLevel="0" collapsed="false">
      <c r="B56" s="4" t="s">
        <v>300</v>
      </c>
      <c r="C56" s="17" t="s">
        <v>108</v>
      </c>
      <c r="D56" s="34" t="n">
        <f aca="false">D36-D55</f>
        <v>0</v>
      </c>
      <c r="E56" s="34" t="n">
        <f aca="false">E36-E55</f>
        <v>0</v>
      </c>
      <c r="F56" s="34" t="n">
        <f aca="false">F36-F55</f>
        <v>0</v>
      </c>
      <c r="G56" s="34" t="n">
        <f aca="false">G36-G55</f>
        <v>0</v>
      </c>
      <c r="H56" s="34" t="n">
        <f aca="false">H36-H55</f>
        <v>0</v>
      </c>
      <c r="I56" s="34" t="n">
        <f aca="false">I36-I55</f>
        <v>0</v>
      </c>
    </row>
    <row r="57" customFormat="false" ht="15" hidden="false" customHeight="false" outlineLevel="0" collapsed="false">
      <c r="B57" s="4" t="s">
        <v>407</v>
      </c>
      <c r="C57" s="17" t="s">
        <v>108</v>
      </c>
      <c r="D57" s="36" t="n">
        <v>-409.775</v>
      </c>
      <c r="E57" s="36" t="n">
        <v>-267.432</v>
      </c>
      <c r="F57" s="36" t="n">
        <v>-275.749</v>
      </c>
      <c r="G57" s="36" t="n">
        <v>-357.769</v>
      </c>
      <c r="H57" s="36" t="n">
        <v>-174.877</v>
      </c>
      <c r="I57" s="36" t="n">
        <v>-129.526</v>
      </c>
    </row>
    <row r="58" customFormat="false" ht="15" hidden="false" customHeight="false" outlineLevel="0" collapsed="false">
      <c r="B58" s="4" t="s">
        <v>300</v>
      </c>
      <c r="C58" s="17" t="s">
        <v>108</v>
      </c>
      <c r="D58" s="34" t="n">
        <f aca="false">D44-D57</f>
        <v>0</v>
      </c>
      <c r="E58" s="34" t="n">
        <f aca="false">E44-E57</f>
        <v>0</v>
      </c>
      <c r="F58" s="34" t="n">
        <f aca="false">F44-F57</f>
        <v>0</v>
      </c>
      <c r="G58" s="34" t="n">
        <f aca="false">G44-G57</f>
        <v>0</v>
      </c>
      <c r="H58" s="34" t="n">
        <f aca="false">H44-H57</f>
        <v>0</v>
      </c>
      <c r="I58" s="34" t="n">
        <f aca="false">I44-I57</f>
        <v>0</v>
      </c>
    </row>
    <row r="59" customFormat="false" ht="15" hidden="false" customHeight="false" outlineLevel="0" collapsed="false">
      <c r="B59" s="4" t="s">
        <v>408</v>
      </c>
      <c r="C59" s="17" t="s">
        <v>108</v>
      </c>
      <c r="D59" s="36" t="n">
        <v>173.861</v>
      </c>
      <c r="E59" s="36" t="n">
        <v>104.246</v>
      </c>
      <c r="F59" s="36" t="n">
        <v>245.225</v>
      </c>
      <c r="G59" s="36" t="n">
        <v>134.709</v>
      </c>
      <c r="H59" s="36" t="n">
        <v>176.801</v>
      </c>
      <c r="I59" s="36" t="n">
        <v>202.427</v>
      </c>
    </row>
    <row r="60" customFormat="false" ht="15" hidden="false" customHeight="false" outlineLevel="0" collapsed="false">
      <c r="B60" s="4" t="s">
        <v>300</v>
      </c>
      <c r="C60" s="17" t="s">
        <v>108</v>
      </c>
      <c r="D60" s="34" t="n">
        <f aca="false">D48-D59</f>
        <v>0</v>
      </c>
      <c r="E60" s="34" t="n">
        <f aca="false">E48-E59</f>
        <v>0</v>
      </c>
      <c r="F60" s="34" t="n">
        <f aca="false">F48-F59</f>
        <v>0</v>
      </c>
      <c r="G60" s="34" t="n">
        <f aca="false">G48-G59</f>
        <v>0</v>
      </c>
      <c r="H60" s="34" t="n">
        <f aca="false">H48-H59</f>
        <v>0</v>
      </c>
      <c r="I60" s="34" t="n">
        <f aca="false">I48-I59</f>
        <v>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409</v>
      </c>
    </row>
    <row r="2" customFormat="false" ht="15" hidden="false" customHeight="false" outlineLevel="0" collapsed="false">
      <c r="B2" s="10" t="s">
        <v>410</v>
      </c>
    </row>
    <row r="4" customFormat="false" ht="15" hidden="false" customHeight="false" outlineLevel="0" collapsed="false">
      <c r="B4" s="11" t="s">
        <v>65</v>
      </c>
      <c r="C4" s="11" t="s">
        <v>12</v>
      </c>
      <c r="D4" s="12" t="s">
        <v>66</v>
      </c>
      <c r="E4" s="12" t="s">
        <v>67</v>
      </c>
      <c r="F4" s="12" t="s">
        <v>68</v>
      </c>
      <c r="G4" s="12" t="s">
        <v>69</v>
      </c>
      <c r="H4" s="12" t="s">
        <v>70</v>
      </c>
      <c r="I4" s="12" t="s">
        <v>71</v>
      </c>
      <c r="J4" s="12" t="s">
        <v>72</v>
      </c>
      <c r="K4" s="12" t="s">
        <v>73</v>
      </c>
      <c r="L4" s="12" t="s">
        <v>74</v>
      </c>
      <c r="M4" s="12" t="s">
        <v>75</v>
      </c>
      <c r="N4" s="12" t="s">
        <v>76</v>
      </c>
      <c r="O4" s="12" t="s">
        <v>77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D5" s="15" t="n">
        <v>44922</v>
      </c>
      <c r="E5" s="15" t="n">
        <v>45286</v>
      </c>
      <c r="F5" s="15" t="n">
        <v>45657</v>
      </c>
      <c r="G5" s="15" t="n">
        <v>46021</v>
      </c>
      <c r="H5" s="15" t="n">
        <v>45839</v>
      </c>
      <c r="I5" s="15" t="n">
        <v>46203</v>
      </c>
      <c r="J5" s="15" t="n">
        <v>46203</v>
      </c>
      <c r="K5" s="15" t="n">
        <v>46385</v>
      </c>
      <c r="L5" s="15" t="n">
        <v>46749</v>
      </c>
      <c r="M5" s="15" t="n">
        <v>47113</v>
      </c>
      <c r="N5" s="15" t="n">
        <v>47477</v>
      </c>
      <c r="O5" s="15" t="n">
        <v>47848</v>
      </c>
      <c r="P5" s="14"/>
    </row>
    <row r="6" customFormat="false" ht="15" hidden="false" customHeight="false" outlineLevel="0" collapsed="false">
      <c r="B6" s="13" t="s">
        <v>80</v>
      </c>
      <c r="C6" s="14"/>
      <c r="D6" s="16" t="n">
        <v>52</v>
      </c>
      <c r="E6" s="16" t="n">
        <v>52</v>
      </c>
      <c r="F6" s="16" t="n">
        <v>53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53</v>
      </c>
      <c r="P6" s="14"/>
    </row>
    <row r="8" customFormat="false" ht="15" hidden="false" customHeight="false" outlineLevel="0" collapsed="false">
      <c r="B8" s="6" t="s">
        <v>411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412</v>
      </c>
      <c r="C9" s="17" t="s">
        <v>108</v>
      </c>
      <c r="G9" s="36" t="n">
        <v>450</v>
      </c>
      <c r="I9" s="36" t="n">
        <v>450</v>
      </c>
      <c r="K9" s="31"/>
      <c r="L9" s="31"/>
      <c r="M9" s="31"/>
      <c r="N9" s="31"/>
      <c r="O9" s="31"/>
      <c r="P9" s="20" t="s">
        <v>413</v>
      </c>
    </row>
    <row r="10" customFormat="false" ht="15" hidden="false" customHeight="false" outlineLevel="0" collapsed="false">
      <c r="B10" s="4" t="s">
        <v>414</v>
      </c>
      <c r="C10" s="17" t="s">
        <v>108</v>
      </c>
      <c r="G10" s="36" t="n">
        <v>2.4</v>
      </c>
      <c r="I10" s="36" t="n">
        <v>2.4</v>
      </c>
      <c r="K10" s="31"/>
      <c r="L10" s="31"/>
      <c r="M10" s="31"/>
      <c r="N10" s="31"/>
      <c r="O10" s="31"/>
      <c r="P10" s="20" t="s">
        <v>415</v>
      </c>
    </row>
    <row r="11" customFormat="false" ht="15" hidden="false" customHeight="false" outlineLevel="0" collapsed="false">
      <c r="B11" s="4" t="s">
        <v>416</v>
      </c>
      <c r="C11" s="17" t="s">
        <v>108</v>
      </c>
      <c r="K11" s="31"/>
      <c r="L11" s="31"/>
      <c r="M11" s="31"/>
      <c r="N11" s="31"/>
      <c r="O11" s="31"/>
    </row>
    <row r="12" customFormat="false" ht="15" hidden="false" customHeight="false" outlineLevel="0" collapsed="false">
      <c r="B12" s="4" t="s">
        <v>417</v>
      </c>
      <c r="C12" s="17" t="s">
        <v>108</v>
      </c>
      <c r="K12" s="31"/>
      <c r="L12" s="31"/>
      <c r="M12" s="31"/>
      <c r="N12" s="31"/>
      <c r="O12" s="31"/>
      <c r="P12" s="20" t="s">
        <v>418</v>
      </c>
    </row>
    <row r="13" customFormat="false" ht="15" hidden="false" customHeight="false" outlineLevel="0" collapsed="false">
      <c r="B13" s="42" t="s">
        <v>419</v>
      </c>
      <c r="C13" s="43" t="s">
        <v>108</v>
      </c>
      <c r="D13" s="57" t="n">
        <v>50</v>
      </c>
      <c r="E13" s="57" t="n">
        <v>0</v>
      </c>
      <c r="F13" s="57" t="n">
        <v>0</v>
      </c>
      <c r="G13" s="57" t="n">
        <v>0</v>
      </c>
      <c r="H13" s="45"/>
      <c r="I13" s="57" t="n">
        <v>50</v>
      </c>
      <c r="J13" s="45"/>
      <c r="K13" s="49"/>
      <c r="L13" s="49"/>
      <c r="M13" s="49"/>
      <c r="N13" s="49"/>
      <c r="O13" s="49"/>
    </row>
    <row r="14" customFormat="false" ht="15" hidden="false" customHeight="false" outlineLevel="0" collapsed="false">
      <c r="B14" s="4" t="s">
        <v>420</v>
      </c>
      <c r="C14" s="17" t="s">
        <v>108</v>
      </c>
      <c r="G14" s="34" t="n">
        <f aca="false">G9-G13-G10</f>
        <v>447.6</v>
      </c>
      <c r="I14" s="34" t="n">
        <f aca="false">I9-I13-I10</f>
        <v>397.6</v>
      </c>
      <c r="K14" s="31"/>
      <c r="L14" s="31"/>
      <c r="M14" s="31"/>
      <c r="N14" s="31"/>
      <c r="O14" s="31"/>
      <c r="P14" s="20" t="s">
        <v>421</v>
      </c>
    </row>
    <row r="15" customFormat="false" ht="15" hidden="false" customHeight="false" outlineLevel="0" collapsed="false">
      <c r="B15" s="4" t="s">
        <v>422</v>
      </c>
      <c r="C15" s="17" t="s">
        <v>91</v>
      </c>
      <c r="G15" s="37" t="n">
        <v>0.0481</v>
      </c>
      <c r="I15" s="37" t="n">
        <v>0.0474</v>
      </c>
      <c r="K15" s="29"/>
      <c r="L15" s="29"/>
      <c r="M15" s="29"/>
      <c r="N15" s="29"/>
      <c r="O15" s="29"/>
      <c r="P15" s="20" t="s">
        <v>423</v>
      </c>
    </row>
    <row r="16" customFormat="false" ht="15" hidden="false" customHeight="false" outlineLevel="0" collapsed="false">
      <c r="B16" s="4" t="s">
        <v>424</v>
      </c>
      <c r="C16" s="17" t="s">
        <v>108</v>
      </c>
      <c r="K16" s="31"/>
      <c r="L16" s="31"/>
      <c r="M16" s="31"/>
      <c r="N16" s="31"/>
      <c r="O16" s="31"/>
    </row>
    <row r="18" customFormat="false" ht="15" hidden="false" customHeight="false" outlineLevel="0" collapsed="false">
      <c r="B18" s="6" t="s">
        <v>425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customFormat="false" ht="15" hidden="false" customHeight="false" outlineLevel="0" collapsed="false">
      <c r="B19" s="4" t="s">
        <v>426</v>
      </c>
      <c r="C19" s="17" t="s">
        <v>108</v>
      </c>
      <c r="K19" s="31"/>
      <c r="L19" s="31"/>
      <c r="M19" s="31"/>
      <c r="N19" s="31"/>
      <c r="O19" s="31"/>
    </row>
    <row r="20" customFormat="false" ht="15" hidden="false" customHeight="false" outlineLevel="0" collapsed="false">
      <c r="B20" s="4" t="s">
        <v>427</v>
      </c>
      <c r="C20" s="17" t="s">
        <v>108</v>
      </c>
      <c r="K20" s="31"/>
      <c r="L20" s="31"/>
      <c r="M20" s="31"/>
      <c r="N20" s="31"/>
      <c r="O20" s="31"/>
    </row>
    <row r="22" customFormat="false" ht="15" hidden="false" customHeight="false" outlineLevel="0" collapsed="false">
      <c r="B22" s="6" t="s">
        <v>428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customFormat="false" ht="15" hidden="false" customHeight="false" outlineLevel="0" collapsed="false">
      <c r="B23" s="4" t="s">
        <v>429</v>
      </c>
      <c r="C23" s="17" t="s">
        <v>88</v>
      </c>
      <c r="D23" s="55" t="n">
        <f aca="false">BS!D31/IS!D38</f>
        <v>0.109305386132207</v>
      </c>
      <c r="E23" s="55" t="n">
        <f aca="false">BS!E31/IS!E38</f>
        <v>0</v>
      </c>
      <c r="F23" s="55" t="n">
        <f aca="false">BS!F31/IS!F38</f>
        <v>0</v>
      </c>
      <c r="G23" s="55" t="n">
        <f aca="false">BS!G31/IS!G38</f>
        <v>0</v>
      </c>
      <c r="K23" s="56"/>
      <c r="L23" s="56"/>
      <c r="M23" s="56"/>
      <c r="N23" s="56"/>
      <c r="O23" s="56"/>
    </row>
    <row r="24" customFormat="false" ht="15" hidden="false" customHeight="false" outlineLevel="0" collapsed="false">
      <c r="B24" s="4" t="s">
        <v>430</v>
      </c>
      <c r="C24" s="17" t="s">
        <v>88</v>
      </c>
      <c r="D24" s="55" t="n">
        <f aca="false">(BS!D31+BS!D48)/(IS!D38+IS!D16)</f>
        <v>1.43698261194656</v>
      </c>
      <c r="E24" s="55" t="n">
        <f aca="false">(BS!E31+BS!E48)/(IS!E38+IS!E16)</f>
        <v>1.32921406242187</v>
      </c>
      <c r="F24" s="55" t="n">
        <f aca="false">(BS!F31+BS!F48)/(IS!F38+IS!F16)</f>
        <v>1.1022088757488</v>
      </c>
      <c r="G24" s="55" t="n">
        <f aca="false">(BS!G31+BS!G48)/(IS!G38+IS!G16)</f>
        <v>1.25891397322738</v>
      </c>
      <c r="K24" s="56"/>
      <c r="L24" s="56"/>
      <c r="M24" s="56"/>
      <c r="N24" s="56"/>
      <c r="O24" s="56"/>
      <c r="P24" s="20" t="s">
        <v>431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432</v>
      </c>
    </row>
    <row r="2" customFormat="false" ht="15" hidden="false" customHeight="false" outlineLevel="0" collapsed="false">
      <c r="B2" s="10" t="s">
        <v>433</v>
      </c>
    </row>
    <row r="4" customFormat="false" ht="15" hidden="false" customHeight="false" outlineLevel="0" collapsed="false">
      <c r="B4" s="11" t="s">
        <v>65</v>
      </c>
      <c r="C4" s="11" t="s">
        <v>12</v>
      </c>
      <c r="G4" s="12" t="s">
        <v>69</v>
      </c>
      <c r="I4" s="12" t="s">
        <v>434</v>
      </c>
      <c r="K4" s="12" t="s">
        <v>73</v>
      </c>
      <c r="L4" s="12" t="s">
        <v>74</v>
      </c>
      <c r="M4" s="12" t="s">
        <v>75</v>
      </c>
      <c r="N4" s="12" t="s">
        <v>76</v>
      </c>
      <c r="O4" s="12" t="s">
        <v>77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G5" s="15" t="n">
        <v>46021</v>
      </c>
      <c r="I5" s="15" t="n">
        <v>46203</v>
      </c>
      <c r="K5" s="15" t="n">
        <v>46385</v>
      </c>
      <c r="L5" s="15" t="n">
        <v>46749</v>
      </c>
      <c r="M5" s="15" t="n">
        <v>47113</v>
      </c>
      <c r="N5" s="15" t="n">
        <v>47477</v>
      </c>
      <c r="O5" s="15" t="n">
        <v>47848</v>
      </c>
      <c r="P5" s="14"/>
    </row>
    <row r="6" customFormat="false" ht="15" hidden="false" customHeight="false" outlineLevel="0" collapsed="false">
      <c r="B6" s="13" t="s">
        <v>80</v>
      </c>
      <c r="C6" s="14"/>
      <c r="G6" s="16" t="n">
        <v>52</v>
      </c>
      <c r="I6" s="16" t="n">
        <v>26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53</v>
      </c>
      <c r="P6" s="14"/>
    </row>
    <row r="8" customFormat="false" ht="15" hidden="false" customHeight="false" outlineLevel="0" collapsed="false">
      <c r="B8" s="6" t="s">
        <v>435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261</v>
      </c>
      <c r="C9" s="17" t="s">
        <v>108</v>
      </c>
      <c r="G9" s="30" t="n">
        <f aca="false">IS!G11</f>
        <v>5878.075</v>
      </c>
      <c r="I9" s="30" t="n">
        <f aca="false">IS!I11</f>
        <v>3313.142</v>
      </c>
      <c r="K9" s="31"/>
      <c r="L9" s="31"/>
      <c r="M9" s="31"/>
      <c r="N9" s="31"/>
      <c r="O9" s="31"/>
    </row>
    <row r="10" customFormat="false" ht="15" hidden="false" customHeight="false" outlineLevel="0" collapsed="false">
      <c r="B10" s="4" t="s">
        <v>436</v>
      </c>
      <c r="C10" s="17" t="s">
        <v>91</v>
      </c>
      <c r="K10" s="24"/>
      <c r="L10" s="24"/>
      <c r="M10" s="24"/>
      <c r="N10" s="24"/>
      <c r="O10" s="24"/>
    </row>
    <row r="11" customFormat="false" ht="15" hidden="false" customHeight="false" outlineLevel="0" collapsed="false">
      <c r="B11" s="4" t="s">
        <v>437</v>
      </c>
      <c r="C11" s="17" t="s">
        <v>108</v>
      </c>
      <c r="G11" s="30" t="n">
        <f aca="false">IS!G38</f>
        <v>681.380000000001</v>
      </c>
      <c r="I11" s="30" t="n">
        <f aca="false">IS!I38</f>
        <v>404.313</v>
      </c>
      <c r="K11" s="31"/>
      <c r="L11" s="31"/>
      <c r="M11" s="31"/>
      <c r="N11" s="31"/>
      <c r="O11" s="31"/>
    </row>
    <row r="12" customFormat="false" ht="15" hidden="false" customHeight="false" outlineLevel="0" collapsed="false">
      <c r="B12" s="4" t="s">
        <v>292</v>
      </c>
      <c r="C12" s="17" t="s">
        <v>91</v>
      </c>
      <c r="G12" s="25" t="n">
        <f aca="false">G11/G9</f>
        <v>0.115918902021495</v>
      </c>
      <c r="I12" s="25" t="n">
        <f aca="false">I11/I9</f>
        <v>0.122033103320051</v>
      </c>
      <c r="K12" s="24"/>
      <c r="L12" s="24"/>
      <c r="M12" s="24"/>
      <c r="N12" s="24"/>
      <c r="O12" s="24"/>
    </row>
    <row r="13" customFormat="false" ht="15" hidden="false" customHeight="false" outlineLevel="0" collapsed="false">
      <c r="B13" s="4" t="s">
        <v>438</v>
      </c>
      <c r="C13" s="17" t="s">
        <v>108</v>
      </c>
      <c r="G13" s="30" t="n">
        <f aca="false">IS!G23</f>
        <v>474.740000000001</v>
      </c>
      <c r="I13" s="30" t="n">
        <f aca="false">IS!I23</f>
        <v>289.129</v>
      </c>
      <c r="K13" s="31"/>
      <c r="L13" s="31"/>
      <c r="M13" s="31"/>
      <c r="N13" s="31"/>
      <c r="O13" s="31"/>
    </row>
    <row r="14" customFormat="false" ht="15" hidden="false" customHeight="false" outlineLevel="0" collapsed="false">
      <c r="B14" s="4" t="s">
        <v>439</v>
      </c>
      <c r="C14" s="17" t="s">
        <v>108</v>
      </c>
      <c r="G14" s="34" t="n">
        <f aca="false">-G13*Inputs!K24</f>
        <v>-0</v>
      </c>
      <c r="I14" s="34" t="n">
        <f aca="false">-I13*Inputs!K24</f>
        <v>-0</v>
      </c>
      <c r="K14" s="31"/>
      <c r="L14" s="31"/>
      <c r="M14" s="31"/>
      <c r="N14" s="31"/>
      <c r="O14" s="31"/>
      <c r="P14" s="20" t="s">
        <v>440</v>
      </c>
    </row>
    <row r="15" customFormat="false" ht="15" hidden="false" customHeight="false" outlineLevel="0" collapsed="false">
      <c r="B15" s="42" t="s">
        <v>441</v>
      </c>
      <c r="C15" s="43" t="s">
        <v>108</v>
      </c>
      <c r="D15" s="45"/>
      <c r="E15" s="45"/>
      <c r="F15" s="45"/>
      <c r="G15" s="50" t="n">
        <f aca="false">G13+G14</f>
        <v>474.740000000001</v>
      </c>
      <c r="H15" s="45"/>
      <c r="I15" s="50" t="n">
        <f aca="false">I13+I14</f>
        <v>289.129</v>
      </c>
      <c r="J15" s="45"/>
      <c r="K15" s="49"/>
      <c r="L15" s="49"/>
      <c r="M15" s="49"/>
      <c r="N15" s="49"/>
      <c r="O15" s="49"/>
    </row>
    <row r="16" customFormat="false" ht="15" hidden="false" customHeight="false" outlineLevel="0" collapsed="false">
      <c r="B16" s="4" t="s">
        <v>442</v>
      </c>
      <c r="C16" s="17" t="s">
        <v>108</v>
      </c>
      <c r="G16" s="30" t="n">
        <f aca="false">IS!G19</f>
        <v>206.64</v>
      </c>
      <c r="I16" s="30" t="n">
        <f aca="false">IS!I19</f>
        <v>115.184</v>
      </c>
      <c r="K16" s="31"/>
      <c r="L16" s="31"/>
      <c r="M16" s="31"/>
      <c r="N16" s="31"/>
      <c r="O16" s="31"/>
    </row>
    <row r="17" customFormat="false" ht="15" hidden="false" customHeight="false" outlineLevel="0" collapsed="false">
      <c r="B17" s="4" t="s">
        <v>443</v>
      </c>
      <c r="C17" s="17" t="s">
        <v>108</v>
      </c>
      <c r="G17" s="30" t="n">
        <f aca="false">CF!G33</f>
        <v>-387.996</v>
      </c>
      <c r="I17" s="30" t="n">
        <f aca="false">CF!I33</f>
        <v>-178.845</v>
      </c>
      <c r="K17" s="31"/>
      <c r="L17" s="31"/>
      <c r="M17" s="31"/>
      <c r="N17" s="31"/>
      <c r="O17" s="31"/>
      <c r="P17" s="20" t="s">
        <v>444</v>
      </c>
    </row>
    <row r="18" customFormat="false" ht="15" hidden="false" customHeight="false" outlineLevel="0" collapsed="false">
      <c r="B18" s="4" t="s">
        <v>445</v>
      </c>
      <c r="C18" s="17" t="s">
        <v>108</v>
      </c>
      <c r="G18" s="30" t="n">
        <f aca="false">CF!G34</f>
        <v>-113.528</v>
      </c>
      <c r="I18" s="30" t="n">
        <f aca="false">CF!I34</f>
        <v>-71.778</v>
      </c>
      <c r="K18" s="31"/>
      <c r="L18" s="31"/>
      <c r="M18" s="31"/>
      <c r="N18" s="31"/>
      <c r="O18" s="31"/>
      <c r="P18" s="20" t="s">
        <v>446</v>
      </c>
    </row>
    <row r="19" customFormat="false" ht="15" hidden="false" customHeight="false" outlineLevel="0" collapsed="false">
      <c r="B19" s="4" t="s">
        <v>447</v>
      </c>
      <c r="C19" s="17" t="s">
        <v>108</v>
      </c>
      <c r="G19" s="30" t="n">
        <f aca="false">CF!G31</f>
        <v>51.382</v>
      </c>
      <c r="I19" s="30" t="n">
        <f aca="false">CF!I31</f>
        <v>36.509</v>
      </c>
      <c r="K19" s="31"/>
      <c r="L19" s="31"/>
      <c r="M19" s="31"/>
      <c r="N19" s="31"/>
      <c r="O19" s="31"/>
      <c r="P19" s="20" t="s">
        <v>448</v>
      </c>
    </row>
    <row r="20" customFormat="false" ht="15" hidden="false" customHeight="false" outlineLevel="0" collapsed="false">
      <c r="B20" s="42" t="s">
        <v>449</v>
      </c>
      <c r="C20" s="43" t="s">
        <v>108</v>
      </c>
      <c r="D20" s="45"/>
      <c r="E20" s="45"/>
      <c r="F20" s="45"/>
      <c r="G20" s="50" t="n">
        <f aca="false">G15+G16+G17+G18+G19</f>
        <v>231.238000000001</v>
      </c>
      <c r="H20" s="45"/>
      <c r="I20" s="50" t="n">
        <f aca="false">I15+I16+I17+I18+I19</f>
        <v>190.199</v>
      </c>
      <c r="J20" s="45"/>
      <c r="K20" s="49"/>
      <c r="L20" s="49"/>
      <c r="M20" s="49"/>
      <c r="N20" s="49"/>
      <c r="O20" s="49"/>
    </row>
    <row r="21" customFormat="false" ht="15" hidden="false" customHeight="false" outlineLevel="0" collapsed="false">
      <c r="B21" s="4" t="s">
        <v>450</v>
      </c>
      <c r="C21" s="17" t="s">
        <v>91</v>
      </c>
      <c r="G21" s="25" t="n">
        <f aca="false">G20/G9</f>
        <v>0.0393390693381763</v>
      </c>
      <c r="I21" s="25" t="n">
        <f aca="false">I20/I9</f>
        <v>0.057407439826002</v>
      </c>
      <c r="K21" s="24"/>
      <c r="L21" s="24"/>
      <c r="M21" s="24"/>
      <c r="N21" s="24"/>
      <c r="O21" s="24"/>
    </row>
    <row r="23" customFormat="false" ht="15" hidden="false" customHeight="false" outlineLevel="0" collapsed="false">
      <c r="B23" s="6" t="s">
        <v>451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customFormat="false" ht="15" hidden="false" customHeight="false" outlineLevel="0" collapsed="false">
      <c r="B24" s="4" t="s">
        <v>452</v>
      </c>
      <c r="C24" s="17" t="s">
        <v>108</v>
      </c>
      <c r="K24" s="31"/>
      <c r="L24" s="31"/>
      <c r="M24" s="31"/>
      <c r="N24" s="31"/>
      <c r="O24" s="31"/>
      <c r="P24" s="20" t="s">
        <v>453</v>
      </c>
    </row>
    <row r="25" customFormat="false" ht="15" hidden="false" customHeight="false" outlineLevel="0" collapsed="false">
      <c r="B25" s="4" t="s">
        <v>454</v>
      </c>
      <c r="C25" s="17" t="s">
        <v>108</v>
      </c>
      <c r="K25" s="31"/>
      <c r="L25" s="31"/>
      <c r="M25" s="31"/>
      <c r="N25" s="31"/>
      <c r="O25" s="31"/>
      <c r="P25" s="20" t="s">
        <v>455</v>
      </c>
    </row>
    <row r="26" customFormat="false" ht="15" hidden="false" customHeight="false" outlineLevel="0" collapsed="false">
      <c r="B26" s="4" t="s">
        <v>456</v>
      </c>
      <c r="C26" s="17" t="s">
        <v>457</v>
      </c>
      <c r="K26" s="58" t="n">
        <f aca="false">$D$68</f>
        <v>46203</v>
      </c>
      <c r="L26" s="58" t="n">
        <f aca="false">K27</f>
        <v>46385</v>
      </c>
      <c r="M26" s="58" t="n">
        <f aca="false">L27</f>
        <v>46749</v>
      </c>
      <c r="N26" s="58" t="n">
        <f aca="false">M27</f>
        <v>47113</v>
      </c>
      <c r="O26" s="58" t="n">
        <f aca="false">N27</f>
        <v>47477</v>
      </c>
    </row>
    <row r="27" customFormat="false" ht="15" hidden="false" customHeight="false" outlineLevel="0" collapsed="false">
      <c r="B27" s="4" t="s">
        <v>458</v>
      </c>
      <c r="C27" s="17" t="s">
        <v>457</v>
      </c>
      <c r="K27" s="59" t="n">
        <f aca="false">IS!K5</f>
        <v>46385</v>
      </c>
      <c r="L27" s="59" t="n">
        <f aca="false">IS!L5</f>
        <v>46749</v>
      </c>
      <c r="M27" s="59" t="n">
        <f aca="false">IS!M5</f>
        <v>47113</v>
      </c>
      <c r="N27" s="59" t="n">
        <f aca="false">IS!N5</f>
        <v>47477</v>
      </c>
      <c r="O27" s="59" t="n">
        <f aca="false">IS!O5</f>
        <v>47848</v>
      </c>
    </row>
    <row r="28" customFormat="false" ht="15" hidden="false" customHeight="false" outlineLevel="0" collapsed="false">
      <c r="B28" s="4" t="s">
        <v>459</v>
      </c>
      <c r="C28" s="17" t="s">
        <v>460</v>
      </c>
      <c r="K28" s="27"/>
      <c r="L28" s="27"/>
      <c r="M28" s="27"/>
      <c r="N28" s="27"/>
      <c r="O28" s="27"/>
    </row>
    <row r="29" customFormat="false" ht="15" hidden="false" customHeight="false" outlineLevel="0" collapsed="false">
      <c r="B29" s="4" t="s">
        <v>461</v>
      </c>
      <c r="C29" s="17" t="s">
        <v>88</v>
      </c>
      <c r="K29" s="22"/>
      <c r="L29" s="22"/>
      <c r="M29" s="22"/>
      <c r="N29" s="22"/>
      <c r="O29" s="22"/>
    </row>
    <row r="30" customFormat="false" ht="15" hidden="false" customHeight="false" outlineLevel="0" collapsed="false">
      <c r="B30" s="4" t="s">
        <v>462</v>
      </c>
      <c r="C30" s="17" t="s">
        <v>108</v>
      </c>
      <c r="K30" s="31"/>
      <c r="L30" s="31"/>
      <c r="M30" s="31"/>
      <c r="N30" s="31"/>
      <c r="O30" s="31"/>
    </row>
    <row r="31" customFormat="false" ht="15" hidden="false" customHeight="false" outlineLevel="0" collapsed="false">
      <c r="B31" s="4" t="s">
        <v>463</v>
      </c>
      <c r="C31" s="17" t="s">
        <v>88</v>
      </c>
      <c r="K31" s="22"/>
      <c r="L31" s="22"/>
      <c r="M31" s="22"/>
      <c r="N31" s="22"/>
      <c r="O31" s="22"/>
      <c r="P31" s="20" t="s">
        <v>464</v>
      </c>
    </row>
    <row r="32" customFormat="false" ht="15" hidden="false" customHeight="false" outlineLevel="0" collapsed="false">
      <c r="B32" s="4" t="s">
        <v>465</v>
      </c>
      <c r="C32" s="17" t="s">
        <v>466</v>
      </c>
      <c r="K32" s="40" t="n">
        <v>1</v>
      </c>
      <c r="L32" s="40" t="n">
        <v>2</v>
      </c>
      <c r="M32" s="40" t="n">
        <v>3</v>
      </c>
      <c r="N32" s="40" t="n">
        <v>4</v>
      </c>
      <c r="O32" s="40" t="n">
        <v>5</v>
      </c>
    </row>
    <row r="33" customFormat="false" ht="15" hidden="false" customHeight="false" outlineLevel="0" collapsed="false">
      <c r="B33" s="4" t="s">
        <v>467</v>
      </c>
      <c r="C33" s="17" t="s">
        <v>91</v>
      </c>
      <c r="K33" s="24"/>
      <c r="L33" s="24"/>
      <c r="M33" s="24"/>
      <c r="N33" s="24"/>
      <c r="O33" s="24"/>
    </row>
    <row r="35" customFormat="false" ht="15" hidden="false" customHeight="false" outlineLevel="0" collapsed="false">
      <c r="B35" s="6" t="s">
        <v>468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customFormat="false" ht="15" hidden="false" customHeight="false" outlineLevel="0" collapsed="false">
      <c r="B36" s="4" t="s">
        <v>197</v>
      </c>
      <c r="C36" s="17" t="s">
        <v>91</v>
      </c>
      <c r="D36" s="60" t="n">
        <f aca="false">Inputs!$D$68</f>
        <v>0.0524</v>
      </c>
      <c r="E36" s="17" t="s">
        <v>469</v>
      </c>
    </row>
    <row r="37" customFormat="false" ht="15" hidden="false" customHeight="false" outlineLevel="0" collapsed="false">
      <c r="B37" s="4" t="s">
        <v>199</v>
      </c>
      <c r="C37" s="17" t="s">
        <v>91</v>
      </c>
      <c r="D37" s="60" t="n">
        <f aca="false">Inputs!$D$69</f>
        <v>0.042</v>
      </c>
      <c r="E37" s="17" t="s">
        <v>470</v>
      </c>
    </row>
    <row r="38" customFormat="false" ht="15" hidden="false" customHeight="false" outlineLevel="0" collapsed="false">
      <c r="B38" s="4" t="s">
        <v>471</v>
      </c>
      <c r="C38" s="17" t="s">
        <v>88</v>
      </c>
      <c r="D38" s="56"/>
      <c r="E38" s="17" t="s">
        <v>472</v>
      </c>
    </row>
    <row r="39" customFormat="false" ht="15" hidden="false" customHeight="false" outlineLevel="0" collapsed="false">
      <c r="B39" s="4" t="s">
        <v>473</v>
      </c>
      <c r="C39" s="17" t="s">
        <v>88</v>
      </c>
      <c r="D39" s="24"/>
      <c r="E39" s="17" t="s">
        <v>474</v>
      </c>
    </row>
    <row r="40" customFormat="false" ht="15" hidden="false" customHeight="false" outlineLevel="0" collapsed="false">
      <c r="B40" s="4" t="s">
        <v>475</v>
      </c>
      <c r="C40" s="17" t="s">
        <v>88</v>
      </c>
      <c r="D40" s="56"/>
      <c r="E40" s="17" t="s">
        <v>476</v>
      </c>
    </row>
    <row r="41" customFormat="false" ht="15" hidden="false" customHeight="false" outlineLevel="0" collapsed="false">
      <c r="B41" s="4" t="s">
        <v>477</v>
      </c>
      <c r="C41" s="17" t="s">
        <v>91</v>
      </c>
      <c r="D41" s="29"/>
      <c r="E41" s="17" t="s">
        <v>478</v>
      </c>
    </row>
    <row r="42" customFormat="false" ht="15" hidden="false" customHeight="false" outlineLevel="0" collapsed="false">
      <c r="B42" s="4" t="s">
        <v>201</v>
      </c>
      <c r="C42" s="17" t="s">
        <v>91</v>
      </c>
      <c r="D42" s="60" t="n">
        <f aca="false">Inputs!$D$70</f>
        <v>0.05</v>
      </c>
      <c r="E42" s="17" t="s">
        <v>479</v>
      </c>
    </row>
    <row r="43" customFormat="false" ht="15" hidden="false" customHeight="false" outlineLevel="0" collapsed="false">
      <c r="B43" s="4" t="s">
        <v>480</v>
      </c>
      <c r="C43" s="17" t="s">
        <v>91</v>
      </c>
      <c r="D43" s="29"/>
    </row>
    <row r="44" customFormat="false" ht="15" hidden="false" customHeight="false" outlineLevel="0" collapsed="false">
      <c r="B44" s="4" t="s">
        <v>481</v>
      </c>
      <c r="C44" s="17" t="s">
        <v>108</v>
      </c>
      <c r="D44" s="31"/>
      <c r="E44" s="17" t="s">
        <v>482</v>
      </c>
    </row>
    <row r="45" customFormat="false" ht="15" hidden="false" customHeight="false" outlineLevel="0" collapsed="false">
      <c r="B45" s="4" t="s">
        <v>483</v>
      </c>
      <c r="C45" s="17" t="s">
        <v>108</v>
      </c>
      <c r="D45" s="30" t="n">
        <f aca="false">Inputs!$D$65</f>
        <v>52.7</v>
      </c>
      <c r="E45" s="17" t="s">
        <v>484</v>
      </c>
    </row>
    <row r="46" customFormat="false" ht="15" hidden="false" customHeight="false" outlineLevel="0" collapsed="false">
      <c r="B46" s="4" t="s">
        <v>485</v>
      </c>
      <c r="C46" s="17" t="s">
        <v>91</v>
      </c>
      <c r="D46" s="24"/>
    </row>
    <row r="47" customFormat="false" ht="15" hidden="false" customHeight="false" outlineLevel="0" collapsed="false">
      <c r="B47" s="3" t="s">
        <v>486</v>
      </c>
      <c r="C47" s="17" t="s">
        <v>91</v>
      </c>
      <c r="D47" s="29"/>
      <c r="E47" s="17" t="s">
        <v>487</v>
      </c>
    </row>
    <row r="49" customFormat="false" ht="15" hidden="false" customHeight="false" outlineLevel="0" collapsed="false">
      <c r="B49" s="6" t="s">
        <v>488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customFormat="false" ht="15" hidden="false" customHeight="false" outlineLevel="0" collapsed="false">
      <c r="B50" s="4" t="s">
        <v>489</v>
      </c>
      <c r="C50" s="17" t="s">
        <v>91</v>
      </c>
      <c r="D50" s="60" t="n">
        <f aca="false">Inputs!$D$72</f>
        <v>0</v>
      </c>
      <c r="E50" s="17" t="s">
        <v>479</v>
      </c>
    </row>
    <row r="51" customFormat="false" ht="15" hidden="false" customHeight="false" outlineLevel="0" collapsed="false">
      <c r="B51" s="4" t="s">
        <v>490</v>
      </c>
      <c r="C51" s="17" t="s">
        <v>88</v>
      </c>
      <c r="D51" s="61" t="n">
        <f aca="false">Inputs!$D$73</f>
        <v>0</v>
      </c>
      <c r="E51" s="17" t="s">
        <v>479</v>
      </c>
    </row>
    <row r="52" customFormat="false" ht="15" hidden="false" customHeight="false" outlineLevel="0" collapsed="false">
      <c r="B52" s="4" t="s">
        <v>491</v>
      </c>
      <c r="C52" s="17" t="s">
        <v>108</v>
      </c>
      <c r="D52" s="31"/>
    </row>
    <row r="53" customFormat="false" ht="15" hidden="false" customHeight="false" outlineLevel="0" collapsed="false">
      <c r="B53" s="4" t="s">
        <v>492</v>
      </c>
      <c r="C53" s="17" t="s">
        <v>108</v>
      </c>
      <c r="D53" s="31"/>
    </row>
    <row r="54" customFormat="false" ht="15" hidden="false" customHeight="false" outlineLevel="0" collapsed="false">
      <c r="B54" s="4" t="s">
        <v>493</v>
      </c>
      <c r="C54" s="17" t="s">
        <v>460</v>
      </c>
      <c r="D54" s="27"/>
    </row>
    <row r="55" customFormat="false" ht="15" hidden="false" customHeight="false" outlineLevel="0" collapsed="false">
      <c r="B55" s="4" t="s">
        <v>494</v>
      </c>
      <c r="C55" s="17" t="s">
        <v>108</v>
      </c>
      <c r="D55" s="31"/>
    </row>
    <row r="56" customFormat="false" ht="15" hidden="false" customHeight="false" outlineLevel="0" collapsed="false">
      <c r="B56" s="4" t="s">
        <v>495</v>
      </c>
      <c r="C56" s="17" t="s">
        <v>108</v>
      </c>
      <c r="D56" s="31"/>
    </row>
    <row r="57" customFormat="false" ht="15" hidden="false" customHeight="false" outlineLevel="0" collapsed="false">
      <c r="B57" s="4" t="s">
        <v>496</v>
      </c>
      <c r="C57" s="17" t="s">
        <v>108</v>
      </c>
      <c r="D57" s="31"/>
    </row>
    <row r="58" customFormat="false" ht="15" hidden="false" customHeight="false" outlineLevel="0" collapsed="false">
      <c r="B58" s="4" t="s">
        <v>497</v>
      </c>
      <c r="C58" s="17" t="s">
        <v>108</v>
      </c>
      <c r="D58" s="31"/>
    </row>
    <row r="59" customFormat="false" ht="15" hidden="false" customHeight="false" outlineLevel="0" collapsed="false">
      <c r="B59" s="4" t="s">
        <v>498</v>
      </c>
      <c r="C59" s="17" t="s">
        <v>108</v>
      </c>
      <c r="D59" s="31"/>
    </row>
    <row r="60" customFormat="false" ht="15" hidden="false" customHeight="false" outlineLevel="0" collapsed="false">
      <c r="B60" s="3" t="s">
        <v>499</v>
      </c>
      <c r="C60" s="17" t="s">
        <v>108</v>
      </c>
      <c r="D60" s="31"/>
    </row>
    <row r="61" customFormat="false" ht="15" hidden="false" customHeight="false" outlineLevel="0" collapsed="false">
      <c r="B61" s="3" t="s">
        <v>500</v>
      </c>
      <c r="C61" s="17" t="s">
        <v>108</v>
      </c>
      <c r="D61" s="31"/>
    </row>
    <row r="62" customFormat="false" ht="15" hidden="false" customHeight="false" outlineLevel="0" collapsed="false">
      <c r="B62" s="4" t="s">
        <v>501</v>
      </c>
      <c r="C62" s="17" t="s">
        <v>91</v>
      </c>
      <c r="D62" s="24"/>
    </row>
    <row r="63" customFormat="false" ht="15" hidden="false" customHeight="false" outlineLevel="0" collapsed="false">
      <c r="B63" s="4" t="s">
        <v>502</v>
      </c>
      <c r="C63" s="17" t="s">
        <v>91</v>
      </c>
      <c r="D63" s="24"/>
    </row>
    <row r="64" customFormat="false" ht="15" hidden="false" customHeight="false" outlineLevel="0" collapsed="false">
      <c r="B64" s="4" t="s">
        <v>503</v>
      </c>
      <c r="C64" s="17" t="s">
        <v>88</v>
      </c>
      <c r="D64" s="39"/>
      <c r="E64" s="17" t="s">
        <v>504</v>
      </c>
    </row>
    <row r="65" customFormat="false" ht="15" hidden="false" customHeight="false" outlineLevel="0" collapsed="false">
      <c r="B65" s="4" t="s">
        <v>505</v>
      </c>
      <c r="C65" s="17" t="s">
        <v>91</v>
      </c>
      <c r="D65" s="29"/>
      <c r="E65" s="17" t="s">
        <v>506</v>
      </c>
    </row>
    <row r="67" customFormat="false" ht="15" hidden="false" customHeight="false" outlineLevel="0" collapsed="false">
      <c r="B67" s="6" t="s">
        <v>507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customFormat="false" ht="15" hidden="false" customHeight="false" outlineLevel="0" collapsed="false">
      <c r="B68" s="4" t="s">
        <v>508</v>
      </c>
      <c r="C68" s="17" t="s">
        <v>457</v>
      </c>
      <c r="D68" s="62" t="n">
        <v>46203</v>
      </c>
      <c r="E68" s="17" t="s">
        <v>509</v>
      </c>
    </row>
    <row r="69" customFormat="false" ht="15" hidden="false" customHeight="false" outlineLevel="0" collapsed="false">
      <c r="B69" s="4" t="s">
        <v>510</v>
      </c>
      <c r="C69" s="17" t="s">
        <v>108</v>
      </c>
      <c r="D69" s="30" t="n">
        <f aca="false">Inputs!$D$64</f>
        <v>202.427</v>
      </c>
    </row>
    <row r="70" customFormat="false" ht="15" hidden="false" customHeight="false" outlineLevel="0" collapsed="false">
      <c r="B70" s="4" t="s">
        <v>511</v>
      </c>
      <c r="C70" s="17" t="s">
        <v>108</v>
      </c>
      <c r="D70" s="30" t="n">
        <f aca="false">Inputs!$D$65</f>
        <v>52.7</v>
      </c>
    </row>
    <row r="71" customFormat="false" ht="15" hidden="false" customHeight="false" outlineLevel="0" collapsed="false">
      <c r="B71" s="4" t="s">
        <v>512</v>
      </c>
      <c r="C71" s="17" t="s">
        <v>108</v>
      </c>
      <c r="D71" s="30" t="n">
        <f aca="false">Inputs!$D$66</f>
        <v>-21.242</v>
      </c>
      <c r="E71" s="17" t="s">
        <v>513</v>
      </c>
    </row>
    <row r="72" customFormat="false" ht="15" hidden="false" customHeight="false" outlineLevel="0" collapsed="false">
      <c r="B72" s="4" t="s">
        <v>514</v>
      </c>
      <c r="C72" s="17" t="s">
        <v>88</v>
      </c>
      <c r="D72" s="25" t="n">
        <f aca="false">1</f>
        <v>1</v>
      </c>
      <c r="E72" s="17" t="s">
        <v>515</v>
      </c>
    </row>
    <row r="73" customFormat="false" ht="15" hidden="false" customHeight="false" outlineLevel="0" collapsed="false">
      <c r="B73" s="4" t="s">
        <v>516</v>
      </c>
      <c r="C73" s="17" t="s">
        <v>169</v>
      </c>
      <c r="D73" s="34" t="n">
        <f aca="false">Inputs!$D$62+Inputs!$D$63</f>
        <v>65.864926</v>
      </c>
      <c r="E73" s="17" t="s">
        <v>517</v>
      </c>
    </row>
    <row r="74" customFormat="false" ht="15" hidden="false" customHeight="false" outlineLevel="0" collapsed="false">
      <c r="B74" s="4" t="s">
        <v>518</v>
      </c>
      <c r="C74" s="17" t="s">
        <v>108</v>
      </c>
      <c r="D74" s="31"/>
    </row>
    <row r="75" customFormat="false" ht="15" hidden="false" customHeight="false" outlineLevel="0" collapsed="false">
      <c r="B75" s="4" t="s">
        <v>519</v>
      </c>
      <c r="C75" s="17" t="s">
        <v>108</v>
      </c>
      <c r="D75" s="31"/>
    </row>
    <row r="76" customFormat="false" ht="15" hidden="false" customHeight="false" outlineLevel="0" collapsed="false">
      <c r="B76" s="4" t="s">
        <v>520</v>
      </c>
      <c r="C76" s="17" t="s">
        <v>158</v>
      </c>
      <c r="D76" s="33"/>
    </row>
    <row r="77" customFormat="false" ht="15" hidden="false" customHeight="false" outlineLevel="0" collapsed="false">
      <c r="B77" s="4" t="s">
        <v>521</v>
      </c>
      <c r="C77" s="17" t="s">
        <v>158</v>
      </c>
      <c r="D77" s="33"/>
    </row>
    <row r="78" customFormat="false" ht="15" hidden="false" customHeight="false" outlineLevel="0" collapsed="false">
      <c r="B78" s="4" t="s">
        <v>522</v>
      </c>
      <c r="C78" s="17" t="s">
        <v>457</v>
      </c>
      <c r="D78" s="62" t="n">
        <v>46304</v>
      </c>
      <c r="E78" s="17" t="s">
        <v>523</v>
      </c>
    </row>
    <row r="79" customFormat="false" ht="15" hidden="false" customHeight="false" outlineLevel="0" collapsed="false">
      <c r="B79" s="4" t="s">
        <v>524</v>
      </c>
      <c r="C79" s="17" t="s">
        <v>88</v>
      </c>
      <c r="D79" s="22"/>
      <c r="E79" s="17" t="s">
        <v>525</v>
      </c>
    </row>
    <row r="80" customFormat="false" ht="15" hidden="false" customHeight="false" outlineLevel="0" collapsed="false">
      <c r="B80" s="4" t="s">
        <v>526</v>
      </c>
      <c r="C80" s="17" t="s">
        <v>158</v>
      </c>
      <c r="D80" s="32" t="n">
        <f aca="false">Inputs!$D$67</f>
        <v>0.75</v>
      </c>
      <c r="E80" s="17" t="s">
        <v>479</v>
      </c>
    </row>
    <row r="81" customFormat="false" ht="15" hidden="false" customHeight="false" outlineLevel="0" collapsed="false">
      <c r="B81" s="3" t="s">
        <v>527</v>
      </c>
      <c r="C81" s="17" t="s">
        <v>158</v>
      </c>
      <c r="D81" s="33"/>
    </row>
    <row r="82" customFormat="false" ht="15" hidden="false" customHeight="false" outlineLevel="0" collapsed="false">
      <c r="B82" s="3" t="s">
        <v>528</v>
      </c>
      <c r="C82" s="17" t="s">
        <v>158</v>
      </c>
      <c r="D82" s="33"/>
    </row>
    <row r="83" customFormat="false" ht="15" hidden="false" customHeight="false" outlineLevel="0" collapsed="false">
      <c r="B83" s="3" t="s">
        <v>529</v>
      </c>
      <c r="C83" s="17" t="s">
        <v>158</v>
      </c>
      <c r="D83" s="33"/>
      <c r="E83" s="17" t="s">
        <v>530</v>
      </c>
    </row>
    <row r="84" customFormat="false" ht="15" hidden="false" customHeight="false" outlineLevel="0" collapsed="false">
      <c r="B84" s="4" t="s">
        <v>531</v>
      </c>
      <c r="C84" s="17" t="s">
        <v>158</v>
      </c>
      <c r="D84" s="32" t="n">
        <f aca="false">Inputs!$D$59</f>
        <v>161.5</v>
      </c>
    </row>
    <row r="85" customFormat="false" ht="15" hidden="false" customHeight="false" outlineLevel="0" collapsed="false">
      <c r="B85" s="4" t="s">
        <v>532</v>
      </c>
      <c r="C85" s="17" t="s">
        <v>91</v>
      </c>
      <c r="D85" s="24"/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26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8" min="6" style="0" width="10"/>
    <col collapsed="false" customWidth="true" hidden="false" outlineLevel="0" max="10" min="9" style="0" width="9"/>
    <col collapsed="false" customWidth="true" hidden="false" outlineLevel="0" max="11" min="11" style="0" width="11"/>
    <col collapsed="false" customWidth="true" hidden="false" outlineLevel="0" max="14" min="12" style="0" width="10"/>
    <col collapsed="false" customWidth="true" hidden="false" outlineLevel="0" max="19" min="15" style="0" width="9"/>
    <col collapsed="false" customWidth="true" hidden="false" outlineLevel="0" max="23" min="20" style="0" width="8"/>
    <col collapsed="false" customWidth="true" hidden="false" outlineLevel="0" max="24" min="24" style="0" width="60"/>
  </cols>
  <sheetData>
    <row r="1" customFormat="false" ht="17.35" hidden="false" customHeight="false" outlineLevel="0" collapsed="false">
      <c r="B1" s="9" t="s">
        <v>533</v>
      </c>
    </row>
    <row r="2" customFormat="false" ht="15" hidden="false" customHeight="false" outlineLevel="0" collapsed="false">
      <c r="B2" s="10" t="s">
        <v>534</v>
      </c>
    </row>
    <row r="4" customFormat="false" ht="42" hidden="false" customHeight="true" outlineLevel="0" collapsed="false">
      <c r="B4" s="63" t="s">
        <v>535</v>
      </c>
      <c r="C4" s="63" t="s">
        <v>536</v>
      </c>
      <c r="D4" s="63" t="s">
        <v>537</v>
      </c>
      <c r="E4" s="63" t="s">
        <v>538</v>
      </c>
      <c r="F4" s="63" t="s">
        <v>539</v>
      </c>
      <c r="G4" s="63" t="s">
        <v>540</v>
      </c>
      <c r="H4" s="63" t="s">
        <v>541</v>
      </c>
      <c r="I4" s="63" t="s">
        <v>398</v>
      </c>
      <c r="J4" s="63" t="s">
        <v>542</v>
      </c>
      <c r="K4" s="63" t="s">
        <v>543</v>
      </c>
      <c r="L4" s="63" t="s">
        <v>544</v>
      </c>
      <c r="M4" s="63" t="s">
        <v>545</v>
      </c>
      <c r="N4" s="63" t="s">
        <v>546</v>
      </c>
      <c r="O4" s="63" t="s">
        <v>547</v>
      </c>
      <c r="P4" s="63" t="s">
        <v>548</v>
      </c>
      <c r="Q4" s="63" t="s">
        <v>549</v>
      </c>
      <c r="R4" s="63" t="s">
        <v>550</v>
      </c>
      <c r="S4" s="63" t="s">
        <v>551</v>
      </c>
      <c r="T4" s="63" t="s">
        <v>552</v>
      </c>
      <c r="U4" s="63" t="s">
        <v>553</v>
      </c>
      <c r="V4" s="63" t="s">
        <v>554</v>
      </c>
      <c r="W4" s="63" t="s">
        <v>555</v>
      </c>
      <c r="X4" s="63" t="s">
        <v>556</v>
      </c>
    </row>
    <row r="5" customFormat="false" ht="15" hidden="false" customHeight="false" outlineLevel="0" collapsed="false">
      <c r="B5" s="4" t="s">
        <v>557</v>
      </c>
      <c r="C5" s="4" t="s">
        <v>558</v>
      </c>
      <c r="D5" s="62" t="n">
        <v>46264</v>
      </c>
      <c r="E5" s="35" t="n">
        <v>197.66</v>
      </c>
      <c r="F5" s="36" t="n">
        <v>113.143224</v>
      </c>
      <c r="G5" s="31"/>
      <c r="H5" s="36" t="n">
        <v>4376.1</v>
      </c>
      <c r="I5" s="36" t="n">
        <v>220.5</v>
      </c>
      <c r="J5" s="36" t="n">
        <v>0</v>
      </c>
      <c r="K5" s="31"/>
      <c r="L5" s="34" t="n">
        <f aca="false">G23</f>
        <v>13366.5</v>
      </c>
      <c r="M5" s="34" t="n">
        <f aca="false">G24+G25</f>
        <v>2133.1</v>
      </c>
      <c r="N5" s="34" t="n">
        <f aca="false">G26</f>
        <v>1182.3</v>
      </c>
      <c r="O5" s="51" t="n">
        <f aca="false">G27</f>
        <v>10.23</v>
      </c>
      <c r="P5" s="39"/>
      <c r="Q5" s="39"/>
      <c r="R5" s="39"/>
      <c r="S5" s="24"/>
      <c r="T5" s="64" t="n">
        <v>0.551</v>
      </c>
      <c r="U5" s="64" t="n">
        <v>0.699</v>
      </c>
      <c r="V5" s="24"/>
      <c r="W5" s="56"/>
      <c r="X5" s="17" t="s">
        <v>559</v>
      </c>
    </row>
    <row r="6" customFormat="false" ht="15" hidden="false" customHeight="false" outlineLevel="0" collapsed="false">
      <c r="B6" s="4" t="s">
        <v>560</v>
      </c>
      <c r="C6" s="4" t="s">
        <v>561</v>
      </c>
      <c r="D6" s="62" t="n">
        <v>46197</v>
      </c>
      <c r="E6" s="35" t="n">
        <v>193.87</v>
      </c>
      <c r="F6" s="36" t="n">
        <v>41.76501</v>
      </c>
      <c r="G6" s="31"/>
      <c r="H6" s="36" t="n">
        <v>444.8</v>
      </c>
      <c r="I6" s="36" t="n">
        <v>110</v>
      </c>
      <c r="J6" s="36" t="n">
        <v>0</v>
      </c>
      <c r="K6" s="31"/>
      <c r="L6" s="34" t="n">
        <f aca="false">G30</f>
        <v>5807.4</v>
      </c>
      <c r="M6" s="34" t="n">
        <f aca="false">G31+G32</f>
        <v>836.5</v>
      </c>
      <c r="N6" s="34" t="n">
        <f aca="false">G33</f>
        <v>487</v>
      </c>
      <c r="O6" s="51" t="n">
        <f aca="false">G34</f>
        <v>10.87</v>
      </c>
      <c r="P6" s="39"/>
      <c r="Q6" s="39"/>
      <c r="R6" s="39"/>
      <c r="S6" s="24"/>
      <c r="T6" s="64" t="n">
        <v>0.673</v>
      </c>
      <c r="U6" s="64" t="n">
        <v>0.781</v>
      </c>
      <c r="V6" s="24"/>
      <c r="W6" s="56"/>
      <c r="X6" s="17" t="s">
        <v>562</v>
      </c>
    </row>
    <row r="7" customFormat="false" ht="15" hidden="false" customHeight="false" outlineLevel="0" collapsed="false">
      <c r="B7" s="4" t="s">
        <v>563</v>
      </c>
      <c r="C7" s="4" t="s">
        <v>564</v>
      </c>
      <c r="D7" s="62" t="n">
        <v>46203</v>
      </c>
      <c r="E7" s="35" t="n">
        <v>108.45</v>
      </c>
      <c r="F7" s="36" t="n">
        <v>49.760634</v>
      </c>
      <c r="G7" s="31"/>
      <c r="H7" s="36" t="n">
        <v>562.9</v>
      </c>
      <c r="I7" s="36" t="n">
        <v>195.2</v>
      </c>
      <c r="J7" s="36" t="n">
        <v>0</v>
      </c>
      <c r="K7" s="31"/>
      <c r="L7" s="34" t="n">
        <f aca="false">G37</f>
        <v>3877.25</v>
      </c>
      <c r="M7" s="34" t="n">
        <f aca="false">G38+G39</f>
        <v>317.333</v>
      </c>
      <c r="N7" s="34" t="n">
        <f aca="false">G40</f>
        <v>178.616</v>
      </c>
      <c r="O7" s="51" t="n">
        <f aca="false">G41</f>
        <v>3.69</v>
      </c>
      <c r="P7" s="39"/>
      <c r="Q7" s="39"/>
      <c r="R7" s="39"/>
      <c r="S7" s="24"/>
      <c r="T7" s="64" t="n">
        <v>1.041</v>
      </c>
      <c r="U7" s="64" t="n">
        <v>1.027</v>
      </c>
      <c r="V7" s="24"/>
      <c r="W7" s="56"/>
      <c r="X7" s="17" t="s">
        <v>565</v>
      </c>
    </row>
    <row r="8" customFormat="false" ht="15" hidden="false" customHeight="false" outlineLevel="0" collapsed="false">
      <c r="B8" s="4" t="s">
        <v>566</v>
      </c>
      <c r="C8" s="4" t="s">
        <v>567</v>
      </c>
      <c r="D8" s="62" t="n">
        <v>46203</v>
      </c>
      <c r="E8" s="35" t="n">
        <v>59.87</v>
      </c>
      <c r="F8" s="36" t="n">
        <v>21.273765</v>
      </c>
      <c r="G8" s="31"/>
      <c r="H8" s="36" t="n">
        <v>44</v>
      </c>
      <c r="I8" s="36" t="n">
        <v>14.4</v>
      </c>
      <c r="J8" s="36" t="n">
        <v>0</v>
      </c>
      <c r="K8" s="31"/>
      <c r="L8" s="34" t="n">
        <f aca="false">G44</f>
        <v>1432.562</v>
      </c>
      <c r="M8" s="34" t="n">
        <f aca="false">G45+G46</f>
        <v>122.538</v>
      </c>
      <c r="N8" s="34" t="n">
        <f aca="false">G47</f>
        <v>40.924</v>
      </c>
      <c r="O8" s="51" t="n">
        <f aca="false">G48</f>
        <v>1.89</v>
      </c>
      <c r="P8" s="39"/>
      <c r="Q8" s="39"/>
      <c r="R8" s="39"/>
      <c r="S8" s="24"/>
      <c r="T8" s="64" t="n">
        <v>1.162</v>
      </c>
      <c r="U8" s="64" t="n">
        <v>1.109</v>
      </c>
      <c r="V8" s="24"/>
      <c r="W8" s="56"/>
      <c r="X8" s="17" t="s">
        <v>568</v>
      </c>
    </row>
    <row r="9" customFormat="false" ht="15" hidden="false" customHeight="false" outlineLevel="0" collapsed="false">
      <c r="B9" s="65"/>
      <c r="C9" s="66" t="s">
        <v>569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7"/>
      <c r="Q9" s="67"/>
      <c r="R9" s="67"/>
      <c r="S9" s="68"/>
      <c r="T9" s="65"/>
      <c r="U9" s="69"/>
      <c r="V9" s="65"/>
      <c r="W9" s="69"/>
    </row>
    <row r="10" customFormat="false" ht="15" hidden="false" customHeight="false" outlineLevel="0" collapsed="false">
      <c r="B10" s="65"/>
      <c r="C10" s="66" t="s">
        <v>570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7"/>
      <c r="Q10" s="67"/>
      <c r="R10" s="67"/>
      <c r="S10" s="68"/>
      <c r="T10" s="65"/>
      <c r="U10" s="69"/>
      <c r="V10" s="65"/>
      <c r="W10" s="69"/>
    </row>
    <row r="11" customFormat="false" ht="15" hidden="false" customHeight="false" outlineLevel="0" collapsed="false">
      <c r="B11" s="65"/>
      <c r="C11" s="66" t="s">
        <v>571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7"/>
      <c r="Q11" s="67"/>
      <c r="R11" s="67"/>
      <c r="S11" s="68"/>
      <c r="T11" s="65"/>
      <c r="U11" s="69"/>
      <c r="V11" s="65"/>
      <c r="W11" s="69"/>
    </row>
    <row r="12" customFormat="false" ht="15" hidden="false" customHeight="false" outlineLevel="0" collapsed="false">
      <c r="B12" s="65"/>
      <c r="C12" s="66" t="s">
        <v>572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7"/>
      <c r="Q12" s="67"/>
      <c r="R12" s="67"/>
      <c r="S12" s="68"/>
      <c r="T12" s="65"/>
      <c r="U12" s="69"/>
      <c r="V12" s="65"/>
      <c r="W12" s="69"/>
    </row>
    <row r="13" customFormat="false" ht="15" hidden="false" customHeight="false" outlineLevel="0" collapsed="false">
      <c r="B13" s="65"/>
      <c r="C13" s="66" t="s">
        <v>573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7"/>
      <c r="Q13" s="67"/>
      <c r="R13" s="67"/>
      <c r="S13" s="68"/>
      <c r="T13" s="65"/>
      <c r="U13" s="69"/>
      <c r="V13" s="65"/>
      <c r="W13" s="69"/>
    </row>
    <row r="14" customFormat="false" ht="15" hidden="false" customHeight="false" outlineLevel="0" collapsed="false">
      <c r="B14" s="65"/>
      <c r="C14" s="66" t="s">
        <v>574</v>
      </c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7"/>
      <c r="Q14" s="67"/>
      <c r="R14" s="67"/>
      <c r="S14" s="68"/>
      <c r="T14" s="65"/>
      <c r="U14" s="69"/>
      <c r="V14" s="65"/>
      <c r="W14" s="69"/>
    </row>
    <row r="16" customFormat="false" ht="15" hidden="false" customHeight="false" outlineLevel="0" collapsed="false">
      <c r="B16" s="3" t="s">
        <v>575</v>
      </c>
      <c r="C16" s="3" t="s">
        <v>576</v>
      </c>
      <c r="D16" s="62" t="n">
        <v>46203</v>
      </c>
      <c r="E16" s="32" t="n">
        <f aca="false">Inputs!$D$59</f>
        <v>161.5</v>
      </c>
      <c r="F16" s="30" t="n">
        <f aca="false">DCF!$D$73</f>
        <v>65.864926</v>
      </c>
      <c r="G16" s="31"/>
      <c r="H16" s="30" t="n">
        <f aca="false">Inputs!$D$65</f>
        <v>52.7</v>
      </c>
      <c r="I16" s="30" t="n">
        <f aca="false">Inputs!$D$64</f>
        <v>202.427</v>
      </c>
      <c r="J16" s="31"/>
      <c r="K16" s="31"/>
      <c r="L16" s="30" t="n">
        <f aca="false">IS!J11</f>
        <v>6231.515</v>
      </c>
      <c r="M16" s="30" t="n">
        <f aca="false">IS!J38</f>
        <v>705.074999999999</v>
      </c>
      <c r="N16" s="30" t="n">
        <f aca="false">IS!J31</f>
        <v>413.172999999999</v>
      </c>
      <c r="O16" s="32" t="n">
        <f aca="false">IS!J35</f>
        <v>6.24736882724587</v>
      </c>
      <c r="P16" s="39"/>
      <c r="Q16" s="39"/>
      <c r="R16" s="39"/>
      <c r="S16" s="24"/>
      <c r="T16" s="64" t="n">
        <v>0.511</v>
      </c>
      <c r="U16" s="64" t="n">
        <v>0.672</v>
      </c>
      <c r="X16" s="17" t="s">
        <v>577</v>
      </c>
    </row>
    <row r="18" customFormat="false" ht="15" hidden="false" customHeight="false" outlineLevel="0" collapsed="false">
      <c r="B18" s="17" t="s">
        <v>578</v>
      </c>
    </row>
    <row r="19" customFormat="false" ht="15" hidden="false" customHeight="false" outlineLevel="0" collapsed="false">
      <c r="B19" s="17" t="s">
        <v>579</v>
      </c>
    </row>
    <row r="20" customFormat="false" ht="15" hidden="false" customHeight="false" outlineLevel="0" collapsed="false">
      <c r="B20" s="6" t="s">
        <v>580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customFormat="false" ht="15" hidden="false" customHeight="false" outlineLevel="0" collapsed="false">
      <c r="B21" s="11" t="s">
        <v>535</v>
      </c>
      <c r="C21" s="11" t="s">
        <v>581</v>
      </c>
      <c r="D21" s="11" t="s">
        <v>582</v>
      </c>
      <c r="E21" s="11" t="s">
        <v>583</v>
      </c>
      <c r="F21" s="11" t="s">
        <v>584</v>
      </c>
      <c r="G21" s="11" t="s">
        <v>585</v>
      </c>
      <c r="H21" s="11" t="s">
        <v>49</v>
      </c>
    </row>
    <row r="22" customFormat="false" ht="15" hidden="false" customHeight="false" outlineLevel="0" collapsed="false">
      <c r="B22" s="3" t="s">
        <v>557</v>
      </c>
    </row>
    <row r="23" customFormat="false" ht="15" hidden="false" customHeight="false" outlineLevel="0" collapsed="false">
      <c r="C23" s="17" t="s">
        <v>586</v>
      </c>
      <c r="D23" s="36" t="n">
        <v>13210.9</v>
      </c>
      <c r="E23" s="36" t="n">
        <v>3200.3</v>
      </c>
      <c r="F23" s="36" t="n">
        <v>3044.7</v>
      </c>
      <c r="G23" s="34" t="n">
        <f aca="false">D23+E23-F23</f>
        <v>13366.5</v>
      </c>
      <c r="H23" s="17" t="s">
        <v>587</v>
      </c>
    </row>
    <row r="24" customFormat="false" ht="15" hidden="false" customHeight="false" outlineLevel="0" collapsed="false">
      <c r="C24" s="17" t="s">
        <v>588</v>
      </c>
      <c r="D24" s="36" t="n">
        <v>1582.8</v>
      </c>
      <c r="E24" s="36" t="n">
        <v>319.3</v>
      </c>
      <c r="F24" s="36" t="n">
        <v>339.2</v>
      </c>
      <c r="G24" s="34" t="n">
        <f aca="false">D24+E24-F24</f>
        <v>1562.9</v>
      </c>
      <c r="H24" s="17" t="s">
        <v>587</v>
      </c>
    </row>
    <row r="25" customFormat="false" ht="15" hidden="false" customHeight="false" outlineLevel="0" collapsed="false">
      <c r="C25" s="17" t="s">
        <v>589</v>
      </c>
      <c r="D25" s="36" t="n">
        <v>561.1</v>
      </c>
      <c r="E25" s="36" t="n">
        <v>144.2</v>
      </c>
      <c r="F25" s="36" t="n">
        <v>135.1</v>
      </c>
      <c r="G25" s="34" t="n">
        <f aca="false">D25+E25-F25</f>
        <v>570.2</v>
      </c>
      <c r="H25" s="17" t="s">
        <v>587</v>
      </c>
    </row>
    <row r="26" customFormat="false" ht="15" hidden="false" customHeight="false" outlineLevel="0" collapsed="false">
      <c r="C26" s="17" t="s">
        <v>590</v>
      </c>
      <c r="D26" s="36" t="n">
        <v>1206.7</v>
      </c>
      <c r="E26" s="36" t="n">
        <v>233.4</v>
      </c>
      <c r="F26" s="36" t="n">
        <v>257.8</v>
      </c>
      <c r="G26" s="34" t="n">
        <f aca="false">D26+E26-F26</f>
        <v>1182.3</v>
      </c>
      <c r="H26" s="17" t="s">
        <v>587</v>
      </c>
    </row>
    <row r="27" customFormat="false" ht="15" hidden="false" customHeight="false" outlineLevel="0" collapsed="false">
      <c r="C27" s="17" t="s">
        <v>591</v>
      </c>
      <c r="D27" s="35" t="n">
        <v>10.38</v>
      </c>
      <c r="E27" s="35" t="n">
        <v>2.04</v>
      </c>
      <c r="F27" s="35" t="n">
        <v>2.19</v>
      </c>
      <c r="G27" s="51" t="n">
        <f aca="false">D27+E27-F27</f>
        <v>10.23</v>
      </c>
      <c r="H27" s="17" t="s">
        <v>587</v>
      </c>
    </row>
    <row r="29" customFormat="false" ht="15" hidden="false" customHeight="false" outlineLevel="0" collapsed="false">
      <c r="B29" s="3" t="s">
        <v>560</v>
      </c>
    </row>
    <row r="30" customFormat="false" ht="15" hidden="false" customHeight="false" outlineLevel="0" collapsed="false">
      <c r="C30" s="17" t="s">
        <v>592</v>
      </c>
      <c r="D30" s="36" t="n">
        <v>5807.4</v>
      </c>
      <c r="G30" s="34" t="n">
        <f aca="false">D30</f>
        <v>5807.4</v>
      </c>
      <c r="H30" s="17" t="s">
        <v>593</v>
      </c>
    </row>
    <row r="31" customFormat="false" ht="15" hidden="false" customHeight="false" outlineLevel="0" collapsed="false">
      <c r="C31" s="17" t="s">
        <v>588</v>
      </c>
      <c r="D31" s="36" t="n">
        <v>619.9</v>
      </c>
      <c r="G31" s="34" t="n">
        <f aca="false">D31</f>
        <v>619.9</v>
      </c>
      <c r="H31" s="17" t="s">
        <v>593</v>
      </c>
    </row>
    <row r="32" customFormat="false" ht="15" hidden="false" customHeight="false" outlineLevel="0" collapsed="false">
      <c r="C32" s="17" t="s">
        <v>594</v>
      </c>
      <c r="D32" s="36" t="n">
        <v>216.6</v>
      </c>
      <c r="G32" s="34" t="n">
        <f aca="false">D32</f>
        <v>216.6</v>
      </c>
      <c r="H32" s="17" t="s">
        <v>593</v>
      </c>
    </row>
    <row r="33" customFormat="false" ht="15" hidden="false" customHeight="false" outlineLevel="0" collapsed="false">
      <c r="C33" s="17" t="s">
        <v>590</v>
      </c>
      <c r="D33" s="36" t="n">
        <v>487</v>
      </c>
      <c r="G33" s="34" t="n">
        <f aca="false">D33</f>
        <v>487</v>
      </c>
      <c r="H33" s="17" t="s">
        <v>593</v>
      </c>
    </row>
    <row r="34" customFormat="false" ht="15" hidden="false" customHeight="false" outlineLevel="0" collapsed="false">
      <c r="C34" s="17" t="s">
        <v>591</v>
      </c>
      <c r="D34" s="35" t="n">
        <v>10.87</v>
      </c>
      <c r="G34" s="51" t="n">
        <f aca="false">D34</f>
        <v>10.87</v>
      </c>
      <c r="H34" s="17" t="s">
        <v>593</v>
      </c>
    </row>
    <row r="36" customFormat="false" ht="15" hidden="false" customHeight="false" outlineLevel="0" collapsed="false">
      <c r="B36" s="3" t="s">
        <v>563</v>
      </c>
    </row>
    <row r="37" customFormat="false" ht="15" hidden="false" customHeight="false" outlineLevel="0" collapsed="false">
      <c r="C37" s="17" t="s">
        <v>586</v>
      </c>
      <c r="D37" s="36" t="n">
        <v>3751.806</v>
      </c>
      <c r="E37" s="36" t="n">
        <v>2008.466</v>
      </c>
      <c r="F37" s="36" t="n">
        <v>1883.022</v>
      </c>
      <c r="G37" s="34" t="n">
        <f aca="false">D37+E37-F37</f>
        <v>3877.25</v>
      </c>
      <c r="H37" s="17" t="s">
        <v>595</v>
      </c>
    </row>
    <row r="38" customFormat="false" ht="15" hidden="false" customHeight="false" outlineLevel="0" collapsed="false">
      <c r="C38" s="17" t="s">
        <v>588</v>
      </c>
      <c r="D38" s="36" t="n">
        <v>187.285</v>
      </c>
      <c r="E38" s="36" t="n">
        <v>133.653</v>
      </c>
      <c r="F38" s="36" t="n">
        <v>116.781</v>
      </c>
      <c r="G38" s="34" t="n">
        <f aca="false">D38+E38-F38</f>
        <v>204.157</v>
      </c>
      <c r="H38" s="17" t="s">
        <v>595</v>
      </c>
    </row>
    <row r="39" customFormat="false" ht="15" hidden="false" customHeight="false" outlineLevel="0" collapsed="false">
      <c r="C39" s="17" t="s">
        <v>589</v>
      </c>
      <c r="D39" s="36" t="n">
        <v>109.031</v>
      </c>
      <c r="E39" s="36" t="n">
        <v>57.087</v>
      </c>
      <c r="F39" s="36" t="n">
        <v>52.942</v>
      </c>
      <c r="G39" s="34" t="n">
        <f aca="false">D39+E39-F39</f>
        <v>113.176</v>
      </c>
      <c r="H39" s="17" t="s">
        <v>595</v>
      </c>
    </row>
    <row r="40" customFormat="false" ht="15" hidden="false" customHeight="false" outlineLevel="0" collapsed="false">
      <c r="C40" s="17" t="s">
        <v>590</v>
      </c>
      <c r="D40" s="36" t="n">
        <v>148.427</v>
      </c>
      <c r="E40" s="36" t="n">
        <v>117.942</v>
      </c>
      <c r="F40" s="36" t="n">
        <v>87.753</v>
      </c>
      <c r="G40" s="34" t="n">
        <f aca="false">D40+E40-F40</f>
        <v>178.616</v>
      </c>
      <c r="H40" s="17" t="s">
        <v>595</v>
      </c>
    </row>
    <row r="41" customFormat="false" ht="15" hidden="false" customHeight="false" outlineLevel="0" collapsed="false">
      <c r="C41" s="17" t="s">
        <v>591</v>
      </c>
      <c r="D41" s="35" t="n">
        <v>3.06</v>
      </c>
      <c r="E41" s="35" t="n">
        <v>2.43</v>
      </c>
      <c r="F41" s="35" t="n">
        <v>1.8</v>
      </c>
      <c r="G41" s="51" t="n">
        <f aca="false">D41+E41-F41</f>
        <v>3.69</v>
      </c>
      <c r="H41" s="17" t="s">
        <v>595</v>
      </c>
    </row>
    <row r="43" customFormat="false" ht="15" hidden="false" customHeight="false" outlineLevel="0" collapsed="false">
      <c r="B43" s="3" t="s">
        <v>566</v>
      </c>
    </row>
    <row r="44" customFormat="false" ht="15" hidden="false" customHeight="false" outlineLevel="0" collapsed="false">
      <c r="C44" s="17" t="s">
        <v>586</v>
      </c>
      <c r="D44" s="36" t="n">
        <v>1399.126</v>
      </c>
      <c r="E44" s="36" t="n">
        <v>747.006</v>
      </c>
      <c r="F44" s="36" t="n">
        <v>713.57</v>
      </c>
      <c r="G44" s="34" t="n">
        <f aca="false">D44+E44-F44</f>
        <v>1432.562</v>
      </c>
      <c r="H44" s="17" t="s">
        <v>595</v>
      </c>
    </row>
    <row r="45" customFormat="false" ht="15" hidden="false" customHeight="false" outlineLevel="0" collapsed="false">
      <c r="C45" s="17" t="s">
        <v>588</v>
      </c>
      <c r="D45" s="36" t="n">
        <v>46.31</v>
      </c>
      <c r="E45" s="36" t="n">
        <v>29.066</v>
      </c>
      <c r="F45" s="36" t="n">
        <v>36.164</v>
      </c>
      <c r="G45" s="34" t="n">
        <f aca="false">D45+E45-F45</f>
        <v>39.212</v>
      </c>
      <c r="H45" s="17" t="s">
        <v>595</v>
      </c>
    </row>
    <row r="46" customFormat="false" ht="15" hidden="false" customHeight="false" outlineLevel="0" collapsed="false">
      <c r="C46" s="17" t="s">
        <v>589</v>
      </c>
      <c r="D46" s="36" t="n">
        <v>76.571</v>
      </c>
      <c r="E46" s="36" t="n">
        <v>43.768</v>
      </c>
      <c r="F46" s="36" t="n">
        <v>37.013</v>
      </c>
      <c r="G46" s="34" t="n">
        <f aca="false">D46+E46-F46</f>
        <v>83.326</v>
      </c>
      <c r="H46" s="17" t="s">
        <v>595</v>
      </c>
    </row>
    <row r="47" customFormat="false" ht="15" hidden="false" customHeight="false" outlineLevel="0" collapsed="false">
      <c r="C47" s="17" t="s">
        <v>590</v>
      </c>
      <c r="D47" s="36" t="n">
        <v>48.808</v>
      </c>
      <c r="E47" s="36" t="n">
        <v>27.816</v>
      </c>
      <c r="F47" s="36" t="n">
        <v>35.7</v>
      </c>
      <c r="G47" s="34" t="n">
        <f aca="false">D47+E47-F47</f>
        <v>40.924</v>
      </c>
      <c r="H47" s="17" t="s">
        <v>595</v>
      </c>
    </row>
    <row r="48" customFormat="false" ht="15" hidden="false" customHeight="false" outlineLevel="0" collapsed="false">
      <c r="C48" s="17" t="s">
        <v>591</v>
      </c>
      <c r="D48" s="35" t="n">
        <v>2.16</v>
      </c>
      <c r="E48" s="35" t="n">
        <v>1.27</v>
      </c>
      <c r="F48" s="35" t="n">
        <v>1.54</v>
      </c>
      <c r="G48" s="51" t="n">
        <f aca="false">D48+E48-F48</f>
        <v>1.89</v>
      </c>
      <c r="H48" s="17" t="s">
        <v>595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9" min="3" style="0" width="12"/>
    <col collapsed="false" customWidth="true" hidden="false" outlineLevel="0" max="10" min="10" style="0" width="16"/>
  </cols>
  <sheetData>
    <row r="1" customFormat="false" ht="17.35" hidden="false" customHeight="false" outlineLevel="0" collapsed="false">
      <c r="B1" s="9" t="s">
        <v>596</v>
      </c>
    </row>
    <row r="2" customFormat="false" ht="15" hidden="false" customHeight="false" outlineLevel="0" collapsed="false">
      <c r="B2" s="10" t="s">
        <v>597</v>
      </c>
    </row>
    <row r="4" customFormat="false" ht="15" hidden="false" customHeight="false" outlineLevel="0" collapsed="false">
      <c r="B4" s="6" t="s">
        <v>598</v>
      </c>
      <c r="C4" s="7"/>
      <c r="D4" s="7"/>
      <c r="E4" s="7"/>
      <c r="F4" s="7"/>
      <c r="G4" s="7"/>
      <c r="H4" s="7"/>
      <c r="I4" s="6" t="s">
        <v>599</v>
      </c>
    </row>
    <row r="5" customFormat="false" ht="15" hidden="false" customHeight="false" outlineLevel="0" collapsed="false">
      <c r="B5" s="17" t="s">
        <v>600</v>
      </c>
      <c r="D5" s="70" t="n">
        <f aca="false">DCF!$D$50+(-2)*$I$5</f>
        <v>-0.01</v>
      </c>
      <c r="E5" s="70" t="n">
        <f aca="false">DCF!$D$50+(-1)*$I$5</f>
        <v>-0.005</v>
      </c>
      <c r="F5" s="71" t="n">
        <f aca="false">DCF!$D$50</f>
        <v>0</v>
      </c>
      <c r="G5" s="70" t="n">
        <f aca="false">DCF!$D$50+(1)*$I$5</f>
        <v>0.005</v>
      </c>
      <c r="H5" s="70" t="n">
        <f aca="false">DCF!$D$50+(2)*$I$5</f>
        <v>0.01</v>
      </c>
      <c r="I5" s="38" t="n">
        <v>0.005</v>
      </c>
      <c r="J5" s="17" t="s">
        <v>601</v>
      </c>
    </row>
    <row r="6" customFormat="false" ht="15" hidden="false" customHeight="false" outlineLevel="0" collapsed="false">
      <c r="C6" s="70" t="n">
        <f aca="false">DCF!$D$47+(-2)*$I$6</f>
        <v>-0.01</v>
      </c>
      <c r="D6" s="33"/>
      <c r="E6" s="33"/>
      <c r="F6" s="33"/>
      <c r="G6" s="33"/>
      <c r="H6" s="33"/>
      <c r="I6" s="38" t="n">
        <v>0.005</v>
      </c>
      <c r="J6" s="17" t="s">
        <v>602</v>
      </c>
    </row>
    <row r="7" customFormat="false" ht="15" hidden="false" customHeight="false" outlineLevel="0" collapsed="false">
      <c r="C7" s="70" t="n">
        <f aca="false">DCF!$D$47+(-1)*$I$6</f>
        <v>-0.005</v>
      </c>
      <c r="D7" s="33"/>
      <c r="E7" s="33"/>
      <c r="F7" s="33"/>
      <c r="G7" s="33"/>
      <c r="H7" s="33"/>
    </row>
    <row r="8" customFormat="false" ht="15" hidden="false" customHeight="false" outlineLevel="0" collapsed="false">
      <c r="C8" s="71" t="n">
        <f aca="false">DCF!$D$47</f>
        <v>0</v>
      </c>
      <c r="D8" s="33"/>
      <c r="E8" s="33"/>
      <c r="F8" s="72"/>
      <c r="G8" s="33"/>
      <c r="H8" s="33"/>
    </row>
    <row r="9" customFormat="false" ht="15" hidden="false" customHeight="false" outlineLevel="0" collapsed="false">
      <c r="C9" s="70" t="n">
        <f aca="false">DCF!$D$47+(1)*$I$6</f>
        <v>0.005</v>
      </c>
      <c r="D9" s="33"/>
      <c r="E9" s="33"/>
      <c r="F9" s="33"/>
      <c r="G9" s="33"/>
      <c r="H9" s="33"/>
    </row>
    <row r="10" customFormat="false" ht="15" hidden="false" customHeight="false" outlineLevel="0" collapsed="false">
      <c r="C10" s="70" t="n">
        <f aca="false">DCF!$D$47+(2)*$I$6</f>
        <v>0.01</v>
      </c>
      <c r="D10" s="33"/>
      <c r="E10" s="33"/>
      <c r="F10" s="33"/>
      <c r="G10" s="33"/>
      <c r="H10" s="33"/>
    </row>
    <row r="12" customFormat="false" ht="15" hidden="false" customHeight="false" outlineLevel="0" collapsed="false">
      <c r="B12" s="17" t="s">
        <v>603</v>
      </c>
    </row>
    <row r="14" customFormat="false" ht="15" hidden="false" customHeight="false" outlineLevel="0" collapsed="false">
      <c r="B14" s="6" t="s">
        <v>604</v>
      </c>
      <c r="C14" s="7"/>
      <c r="D14" s="7"/>
      <c r="E14" s="7"/>
      <c r="F14" s="7"/>
      <c r="G14" s="7"/>
      <c r="H14" s="7"/>
      <c r="I14" s="6" t="s">
        <v>599</v>
      </c>
    </row>
    <row r="15" customFormat="false" ht="15" hidden="false" customHeight="false" outlineLevel="0" collapsed="false">
      <c r="B15" s="17" t="s">
        <v>605</v>
      </c>
      <c r="D15" s="73" t="n">
        <f aca="false">DCF!$D$51+(-2)*$I$15</f>
        <v>-2</v>
      </c>
      <c r="E15" s="73" t="n">
        <f aca="false">DCF!$D$51+(-1)*$I$15</f>
        <v>-1</v>
      </c>
      <c r="F15" s="74" t="n">
        <f aca="false">DCF!$D$51</f>
        <v>0</v>
      </c>
      <c r="G15" s="73" t="n">
        <f aca="false">DCF!$D$51+(1)*$I$15</f>
        <v>1</v>
      </c>
      <c r="H15" s="73" t="n">
        <f aca="false">DCF!$D$51+(2)*$I$15</f>
        <v>2</v>
      </c>
      <c r="I15" s="75" t="n">
        <v>1</v>
      </c>
      <c r="J15" s="17" t="s">
        <v>601</v>
      </c>
    </row>
    <row r="16" customFormat="false" ht="15" hidden="false" customHeight="false" outlineLevel="0" collapsed="false">
      <c r="C16" s="70" t="n">
        <f aca="false">DCF!$D$47+(-2)*$I$16</f>
        <v>-0.01</v>
      </c>
      <c r="D16" s="33"/>
      <c r="E16" s="33"/>
      <c r="F16" s="33"/>
      <c r="G16" s="33"/>
      <c r="H16" s="33"/>
      <c r="I16" s="38" t="n">
        <v>0.005</v>
      </c>
      <c r="J16" s="17" t="s">
        <v>602</v>
      </c>
    </row>
    <row r="17" customFormat="false" ht="15" hidden="false" customHeight="false" outlineLevel="0" collapsed="false">
      <c r="C17" s="70" t="n">
        <f aca="false">DCF!$D$47+(-1)*$I$16</f>
        <v>-0.005</v>
      </c>
      <c r="D17" s="33"/>
      <c r="E17" s="33"/>
      <c r="F17" s="33"/>
      <c r="G17" s="33"/>
      <c r="H17" s="33"/>
    </row>
    <row r="18" customFormat="false" ht="15" hidden="false" customHeight="false" outlineLevel="0" collapsed="false">
      <c r="C18" s="71" t="n">
        <f aca="false">DCF!$D$47</f>
        <v>0</v>
      </c>
      <c r="D18" s="33"/>
      <c r="E18" s="33"/>
      <c r="F18" s="72"/>
      <c r="G18" s="33"/>
      <c r="H18" s="33"/>
    </row>
    <row r="19" customFormat="false" ht="15" hidden="false" customHeight="false" outlineLevel="0" collapsed="false">
      <c r="C19" s="70" t="n">
        <f aca="false">DCF!$D$47+(1)*$I$16</f>
        <v>0.005</v>
      </c>
      <c r="D19" s="33"/>
      <c r="E19" s="33"/>
      <c r="F19" s="33"/>
      <c r="G19" s="33"/>
      <c r="H19" s="33"/>
    </row>
    <row r="20" customFormat="false" ht="15" hidden="false" customHeight="false" outlineLevel="0" collapsed="false">
      <c r="C20" s="70" t="n">
        <f aca="false">DCF!$D$47+(2)*$I$16</f>
        <v>0.01</v>
      </c>
      <c r="D20" s="33"/>
      <c r="E20" s="33"/>
      <c r="F20" s="33"/>
      <c r="G20" s="33"/>
      <c r="H20" s="33"/>
    </row>
    <row r="22" customFormat="false" ht="15" hidden="false" customHeight="false" outlineLevel="0" collapsed="false">
      <c r="B22" s="17" t="s">
        <v>606</v>
      </c>
    </row>
    <row r="24" customFormat="false" ht="15" hidden="false" customHeight="false" outlineLevel="0" collapsed="false">
      <c r="B24" s="6" t="s">
        <v>607</v>
      </c>
      <c r="C24" s="7"/>
      <c r="D24" s="7"/>
      <c r="E24" s="7"/>
      <c r="F24" s="7"/>
      <c r="G24" s="7"/>
      <c r="H24" s="7"/>
      <c r="I24" s="6" t="s">
        <v>599</v>
      </c>
    </row>
    <row r="25" customFormat="false" ht="15" hidden="false" customHeight="false" outlineLevel="0" collapsed="false">
      <c r="B25" s="17" t="s">
        <v>608</v>
      </c>
      <c r="D25" s="70" t="n">
        <f aca="false">0+(-2)*$I$25</f>
        <v>-0.01</v>
      </c>
      <c r="E25" s="70" t="n">
        <f aca="false">0+(-1)*$I$25</f>
        <v>-0.005</v>
      </c>
      <c r="F25" s="70" t="n">
        <f aca="false">0</f>
        <v>0</v>
      </c>
      <c r="G25" s="70" t="n">
        <f aca="false">0+(1)*$I$25</f>
        <v>0.005</v>
      </c>
      <c r="H25" s="70" t="n">
        <f aca="false">0+(2)*$I$25</f>
        <v>0.01</v>
      </c>
      <c r="I25" s="38" t="n">
        <v>0.005</v>
      </c>
      <c r="J25" s="17" t="s">
        <v>601</v>
      </c>
    </row>
    <row r="26" customFormat="false" ht="15" hidden="false" customHeight="false" outlineLevel="0" collapsed="false">
      <c r="C26" s="70" t="n">
        <f aca="false">0+(-2)*$I$26</f>
        <v>-0.02</v>
      </c>
      <c r="D26" s="33"/>
      <c r="E26" s="33"/>
      <c r="F26" s="33"/>
      <c r="G26" s="33"/>
      <c r="H26" s="33"/>
      <c r="I26" s="38" t="n">
        <v>0.01</v>
      </c>
      <c r="J26" s="17" t="s">
        <v>602</v>
      </c>
    </row>
    <row r="27" customFormat="false" ht="15" hidden="false" customHeight="false" outlineLevel="0" collapsed="false">
      <c r="C27" s="70" t="n">
        <f aca="false">0+(-1)*$I$26</f>
        <v>-0.01</v>
      </c>
      <c r="D27" s="33"/>
      <c r="E27" s="33"/>
      <c r="F27" s="33"/>
      <c r="G27" s="33"/>
      <c r="H27" s="33"/>
    </row>
    <row r="28" customFormat="false" ht="15" hidden="false" customHeight="false" outlineLevel="0" collapsed="false">
      <c r="C28" s="70" t="n">
        <f aca="false">0</f>
        <v>0</v>
      </c>
      <c r="D28" s="33"/>
      <c r="E28" s="33"/>
      <c r="F28" s="72"/>
      <c r="G28" s="33"/>
      <c r="H28" s="33"/>
    </row>
    <row r="29" customFormat="false" ht="15" hidden="false" customHeight="false" outlineLevel="0" collapsed="false">
      <c r="C29" s="70" t="n">
        <f aca="false">0+(1)*$I$26</f>
        <v>0.01</v>
      </c>
      <c r="D29" s="33"/>
      <c r="E29" s="33"/>
      <c r="F29" s="33"/>
      <c r="G29" s="33"/>
      <c r="H29" s="33"/>
    </row>
    <row r="30" customFormat="false" ht="15" hidden="false" customHeight="false" outlineLevel="0" collapsed="false">
      <c r="C30" s="70" t="n">
        <f aca="false">0+(2)*$I$26</f>
        <v>0.02</v>
      </c>
      <c r="D30" s="33"/>
      <c r="E30" s="33"/>
      <c r="F30" s="33"/>
      <c r="G30" s="33"/>
      <c r="H30" s="33"/>
    </row>
    <row r="32" customFormat="false" ht="15" hidden="false" customHeight="false" outlineLevel="0" collapsed="false">
      <c r="B32" s="17" t="s">
        <v>609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6" min="3" style="0" width="13"/>
    <col collapsed="false" customWidth="true" hidden="false" outlineLevel="0" max="7" min="7" style="0" width="70"/>
  </cols>
  <sheetData>
    <row r="1" customFormat="false" ht="17.35" hidden="false" customHeight="false" outlineLevel="0" collapsed="false">
      <c r="B1" s="9" t="s">
        <v>610</v>
      </c>
    </row>
    <row r="2" customFormat="false" ht="15" hidden="false" customHeight="false" outlineLevel="0" collapsed="false">
      <c r="B2" s="10" t="s">
        <v>611</v>
      </c>
    </row>
    <row r="4" customFormat="false" ht="15" hidden="false" customHeight="false" outlineLevel="0" collapsed="false">
      <c r="B4" s="11" t="s">
        <v>612</v>
      </c>
      <c r="C4" s="11" t="s">
        <v>613</v>
      </c>
      <c r="D4" s="11" t="s">
        <v>614</v>
      </c>
      <c r="E4" s="11" t="s">
        <v>615</v>
      </c>
      <c r="G4" s="11" t="s">
        <v>616</v>
      </c>
    </row>
    <row r="5" customFormat="false" ht="15" hidden="false" customHeight="false" outlineLevel="0" collapsed="false">
      <c r="B5" s="4" t="s">
        <v>617</v>
      </c>
      <c r="C5" s="35" t="n">
        <v>153.83</v>
      </c>
      <c r="D5" s="35" t="n">
        <v>216.3</v>
      </c>
      <c r="E5" s="51" t="n">
        <f aca="false">D5-C5</f>
        <v>62.47</v>
      </c>
      <c r="G5" s="17" t="s">
        <v>618</v>
      </c>
    </row>
    <row r="6" customFormat="false" ht="15" hidden="false" customHeight="false" outlineLevel="0" collapsed="false">
      <c r="B6" s="4" t="s">
        <v>619</v>
      </c>
      <c r="C6" s="33"/>
      <c r="D6" s="33"/>
      <c r="E6" s="33"/>
      <c r="G6" s="17" t="s">
        <v>620</v>
      </c>
    </row>
    <row r="7" customFormat="false" ht="15" hidden="false" customHeight="false" outlineLevel="0" collapsed="false">
      <c r="B7" s="4" t="s">
        <v>621</v>
      </c>
      <c r="C7" s="33"/>
      <c r="D7" s="33"/>
      <c r="E7" s="33"/>
      <c r="G7" s="17" t="s">
        <v>622</v>
      </c>
    </row>
    <row r="8" customFormat="false" ht="15" hidden="false" customHeight="false" outlineLevel="0" collapsed="false">
      <c r="B8" s="4" t="s">
        <v>623</v>
      </c>
      <c r="C8" s="33"/>
      <c r="D8" s="33"/>
      <c r="E8" s="33"/>
      <c r="G8" s="17" t="s">
        <v>624</v>
      </c>
    </row>
    <row r="9" customFormat="false" ht="15" hidden="false" customHeight="false" outlineLevel="0" collapsed="false">
      <c r="B9" s="4" t="s">
        <v>625</v>
      </c>
      <c r="C9" s="33"/>
      <c r="D9" s="33"/>
      <c r="E9" s="33"/>
      <c r="G9" s="17" t="s">
        <v>626</v>
      </c>
    </row>
    <row r="11" customFormat="false" ht="15" hidden="false" customHeight="false" outlineLevel="0" collapsed="false">
      <c r="B11" s="0" t="s">
        <v>531</v>
      </c>
      <c r="C11" s="32" t="n">
        <f aca="false">Inputs!$D$59</f>
        <v>161.5</v>
      </c>
    </row>
    <row r="12" customFormat="false" ht="15" hidden="false" customHeight="false" outlineLevel="0" collapsed="false">
      <c r="B12" s="0" t="s">
        <v>627</v>
      </c>
      <c r="C12" s="33"/>
    </row>
    <row r="14" customFormat="false" ht="15" hidden="false" customHeight="false" outlineLevel="0" collapsed="false">
      <c r="B14" s="17" t="s">
        <v>628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629</v>
      </c>
    </row>
    <row r="2" customFormat="false" ht="15" hidden="false" customHeight="false" outlineLevel="0" collapsed="false">
      <c r="B2" s="10" t="s">
        <v>630</v>
      </c>
    </row>
    <row r="4" customFormat="false" ht="15" hidden="false" customHeight="false" outlineLevel="0" collapsed="false">
      <c r="B4" s="11" t="s">
        <v>65</v>
      </c>
      <c r="C4" s="11" t="s">
        <v>12</v>
      </c>
      <c r="D4" s="12" t="s">
        <v>631</v>
      </c>
      <c r="E4" s="12" t="s">
        <v>632</v>
      </c>
      <c r="F4" s="12" t="s">
        <v>633</v>
      </c>
      <c r="G4" s="12" t="s">
        <v>634</v>
      </c>
      <c r="H4" s="12" t="s">
        <v>635</v>
      </c>
      <c r="I4" s="12" t="s">
        <v>636</v>
      </c>
      <c r="J4" s="12" t="s">
        <v>637</v>
      </c>
      <c r="K4" s="12" t="s">
        <v>638</v>
      </c>
      <c r="L4" s="12" t="s">
        <v>639</v>
      </c>
      <c r="M4" s="12" t="s">
        <v>640</v>
      </c>
      <c r="N4" s="12" t="s">
        <v>68</v>
      </c>
      <c r="O4" s="12" t="s">
        <v>69</v>
      </c>
      <c r="P4" s="11" t="s">
        <v>78</v>
      </c>
    </row>
    <row r="5" customFormat="false" ht="15" hidden="false" customHeight="false" outlineLevel="0" collapsed="false">
      <c r="B5" s="13" t="s">
        <v>79</v>
      </c>
      <c r="C5" s="14"/>
      <c r="D5" s="15" t="n">
        <v>45377</v>
      </c>
      <c r="E5" s="15" t="n">
        <v>45468</v>
      </c>
      <c r="F5" s="15" t="n">
        <v>45559</v>
      </c>
      <c r="G5" s="15" t="n">
        <v>45657</v>
      </c>
      <c r="H5" s="15" t="n">
        <v>45748</v>
      </c>
      <c r="I5" s="15" t="n">
        <v>45839</v>
      </c>
      <c r="J5" s="15" t="n">
        <v>45930</v>
      </c>
      <c r="K5" s="15" t="n">
        <v>46021</v>
      </c>
      <c r="L5" s="15" t="n">
        <v>46112</v>
      </c>
      <c r="M5" s="15" t="n">
        <v>46203</v>
      </c>
      <c r="N5" s="15" t="n">
        <v>45657</v>
      </c>
      <c r="O5" s="15" t="n">
        <v>46021</v>
      </c>
      <c r="P5" s="14"/>
    </row>
    <row r="6" customFormat="false" ht="15" hidden="false" customHeight="false" outlineLevel="0" collapsed="false">
      <c r="B6" s="13" t="s">
        <v>80</v>
      </c>
      <c r="C6" s="14"/>
      <c r="D6" s="16" t="n">
        <v>13</v>
      </c>
      <c r="E6" s="16" t="n">
        <v>13</v>
      </c>
      <c r="F6" s="16" t="n">
        <v>13</v>
      </c>
      <c r="G6" s="16" t="n">
        <v>14</v>
      </c>
      <c r="H6" s="16" t="n">
        <v>13</v>
      </c>
      <c r="I6" s="16" t="n">
        <v>13</v>
      </c>
      <c r="J6" s="16" t="n">
        <v>13</v>
      </c>
      <c r="K6" s="16" t="n">
        <v>13</v>
      </c>
      <c r="L6" s="16" t="n">
        <v>13</v>
      </c>
      <c r="M6" s="16" t="n">
        <v>13</v>
      </c>
      <c r="N6" s="16" t="n">
        <v>53</v>
      </c>
      <c r="O6" s="16" t="n">
        <v>52</v>
      </c>
      <c r="P6" s="14"/>
    </row>
    <row r="8" customFormat="false" ht="15" hidden="false" customHeight="false" outlineLevel="0" collapsed="false">
      <c r="B8" s="6" t="s">
        <v>641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263</v>
      </c>
      <c r="C9" s="17" t="s">
        <v>108</v>
      </c>
      <c r="D9" s="36" t="n">
        <v>1321.217</v>
      </c>
      <c r="E9" s="36" t="n">
        <v>1341.202</v>
      </c>
      <c r="F9" s="36" t="n">
        <v>1272.999</v>
      </c>
      <c r="G9" s="34" t="n">
        <f aca="false">IS!F11-SUM(D9:F9)</f>
        <v>1437.914</v>
      </c>
      <c r="H9" s="36" t="n">
        <v>1447.648</v>
      </c>
      <c r="I9" s="36" t="n">
        <v>1512.054</v>
      </c>
      <c r="J9" s="36" t="n">
        <v>1436.342</v>
      </c>
      <c r="K9" s="34" t="n">
        <f aca="false">IS!G11-SUM(H9:J9)</f>
        <v>1482.031</v>
      </c>
      <c r="L9" s="36" t="n">
        <v>1633.166</v>
      </c>
      <c r="M9" s="36" t="n">
        <v>1679.976</v>
      </c>
      <c r="N9" s="34" t="n">
        <f aca="false">SUM(D9:G9)</f>
        <v>5373.332</v>
      </c>
      <c r="O9" s="34" t="n">
        <f aca="false">SUM(H9:K9)</f>
        <v>5878.075</v>
      </c>
      <c r="P9" s="20" t="s">
        <v>642</v>
      </c>
    </row>
    <row r="10" customFormat="false" ht="15" hidden="false" customHeight="false" outlineLevel="0" collapsed="false">
      <c r="B10" s="4" t="s">
        <v>643</v>
      </c>
      <c r="C10" s="17" t="s">
        <v>108</v>
      </c>
      <c r="D10" s="36" t="n">
        <v>133.128</v>
      </c>
      <c r="E10" s="36" t="n">
        <v>142.816</v>
      </c>
      <c r="F10" s="36" t="n">
        <v>102.023</v>
      </c>
      <c r="G10" s="34" t="n">
        <f aca="false">IS!F23-SUM(D10:F10)</f>
        <v>138.552</v>
      </c>
      <c r="H10" s="36" t="n">
        <v>134.733</v>
      </c>
      <c r="I10" s="36" t="n">
        <v>146.341</v>
      </c>
      <c r="J10" s="36" t="n">
        <v>96.949</v>
      </c>
      <c r="K10" s="34" t="n">
        <f aca="false">IS!G23-SUM(H10:J10)</f>
        <v>96.7170000000007</v>
      </c>
      <c r="L10" s="36" t="n">
        <v>146.341</v>
      </c>
      <c r="M10" s="36" t="n">
        <v>142.788</v>
      </c>
      <c r="N10" s="34" t="n">
        <f aca="false">SUM(D10:G10)</f>
        <v>516.519</v>
      </c>
      <c r="O10" s="34" t="n">
        <f aca="false">SUM(H10:K10)</f>
        <v>474.740000000001</v>
      </c>
      <c r="P10" s="20" t="s">
        <v>642</v>
      </c>
    </row>
    <row r="11" customFormat="false" ht="15" hidden="false" customHeight="false" outlineLevel="0" collapsed="false">
      <c r="B11" s="4" t="s">
        <v>267</v>
      </c>
      <c r="C11" s="17" t="s">
        <v>108</v>
      </c>
      <c r="D11" s="36" t="n">
        <v>41.493</v>
      </c>
      <c r="E11" s="36" t="n">
        <v>42.915</v>
      </c>
      <c r="F11" s="36" t="n">
        <v>44.51</v>
      </c>
      <c r="G11" s="34" t="n">
        <f aca="false">IS!F19-SUM(D11:F11)</f>
        <v>49.239</v>
      </c>
      <c r="H11" s="36" t="n">
        <v>48.8</v>
      </c>
      <c r="I11" s="36" t="n">
        <v>50.744</v>
      </c>
      <c r="J11" s="36" t="n">
        <v>52.628</v>
      </c>
      <c r="K11" s="34" t="n">
        <f aca="false">IS!G19-SUM(H11:J11)</f>
        <v>54.468</v>
      </c>
      <c r="L11" s="36" t="n">
        <v>56.843</v>
      </c>
      <c r="M11" s="36" t="n">
        <v>58.341</v>
      </c>
      <c r="N11" s="34" t="n">
        <f aca="false">SUM(D11:G11)</f>
        <v>178.157</v>
      </c>
      <c r="O11" s="34" t="n">
        <f aca="false">SUM(H11:K11)</f>
        <v>206.64</v>
      </c>
      <c r="P11" s="20" t="s">
        <v>642</v>
      </c>
    </row>
    <row r="12" customFormat="false" ht="15" hidden="false" customHeight="false" outlineLevel="0" collapsed="false">
      <c r="B12" s="4" t="s">
        <v>282</v>
      </c>
      <c r="C12" s="17" t="s">
        <v>108</v>
      </c>
      <c r="D12" s="36" t="n">
        <v>113.206</v>
      </c>
      <c r="E12" s="36" t="n">
        <v>120.141</v>
      </c>
      <c r="F12" s="36" t="n">
        <v>84.412</v>
      </c>
      <c r="G12" s="34" t="n">
        <f aca="false">IS!F31-SUM(D12:F12)</f>
        <v>115.833</v>
      </c>
      <c r="H12" s="36" t="n">
        <v>113.662</v>
      </c>
      <c r="I12" s="36" t="n">
        <v>124.085</v>
      </c>
      <c r="J12" s="36" t="n">
        <v>83.172</v>
      </c>
      <c r="K12" s="34" t="n">
        <f aca="false">IS!G31-SUM(H12:J12)</f>
        <v>84.6350000000007</v>
      </c>
      <c r="L12" s="36" t="n">
        <v>123.433</v>
      </c>
      <c r="M12" s="36" t="n">
        <v>121.933</v>
      </c>
      <c r="N12" s="34" t="n">
        <f aca="false">SUM(D12:G12)</f>
        <v>433.592</v>
      </c>
      <c r="O12" s="34" t="n">
        <f aca="false">SUM(H12:K12)</f>
        <v>405.554000000001</v>
      </c>
      <c r="P12" s="20" t="s">
        <v>642</v>
      </c>
    </row>
    <row r="13" customFormat="false" ht="15" hidden="false" customHeight="false" outlineLevel="0" collapsed="false">
      <c r="B13" s="4" t="s">
        <v>551</v>
      </c>
      <c r="C13" s="17" t="s">
        <v>91</v>
      </c>
      <c r="D13" s="25" t="n">
        <f aca="false">(D10+D11)/D9</f>
        <v>0.132166782595138</v>
      </c>
      <c r="E13" s="25" t="n">
        <f aca="false">(E10+E11)/E9</f>
        <v>0.138481004352812</v>
      </c>
      <c r="F13" s="25" t="n">
        <f aca="false">(F10+F11)/F9</f>
        <v>0.115108495764726</v>
      </c>
      <c r="G13" s="25" t="n">
        <f aca="false">(G10+G11)/G9</f>
        <v>0.130599604705149</v>
      </c>
      <c r="H13" s="25" t="n">
        <f aca="false">(H10+H11)/H9</f>
        <v>0.126780128871107</v>
      </c>
      <c r="I13" s="25" t="n">
        <f aca="false">(I10+I11)/I9</f>
        <v>0.130342567130539</v>
      </c>
      <c r="J13" s="25" t="n">
        <f aca="false">(J10+J11)/J9</f>
        <v>0.104137454728748</v>
      </c>
      <c r="K13" s="25" t="n">
        <f aca="false">(K10+K11)/K9</f>
        <v>0.102012036185478</v>
      </c>
      <c r="L13" s="25" t="n">
        <f aca="false">(L10+L11)/L9</f>
        <v>0.12441111313853</v>
      </c>
      <c r="M13" s="25" t="n">
        <f aca="false">(M10+M11)/M9</f>
        <v>0.119721353162188</v>
      </c>
      <c r="N13" s="25" t="n">
        <f aca="false">(N10+N11)/N9</f>
        <v>0.129282166074979</v>
      </c>
      <c r="O13" s="25" t="n">
        <f aca="false">(O10+O11)/O9</f>
        <v>0.115918902021495</v>
      </c>
    </row>
    <row r="14" customFormat="false" ht="15" hidden="false" customHeight="false" outlineLevel="0" collapsed="false">
      <c r="B14" s="4" t="s">
        <v>644</v>
      </c>
      <c r="C14" s="17" t="s">
        <v>91</v>
      </c>
      <c r="D14" s="25" t="n">
        <f aca="false">D10/D9</f>
        <v>0.100761646270068</v>
      </c>
      <c r="E14" s="25" t="n">
        <f aca="false">E10/E9</f>
        <v>0.106483587110666</v>
      </c>
      <c r="F14" s="25" t="n">
        <f aca="false">F10/F9</f>
        <v>0.0801438178663141</v>
      </c>
      <c r="G14" s="25" t="n">
        <f aca="false">G10/G9</f>
        <v>0.0963562494001729</v>
      </c>
      <c r="H14" s="25" t="n">
        <f aca="false">H10/H9</f>
        <v>0.0930702767523597</v>
      </c>
      <c r="I14" s="25" t="n">
        <f aca="false">I10/I9</f>
        <v>0.0967829191285496</v>
      </c>
      <c r="J14" s="25" t="n">
        <f aca="false">J10/J9</f>
        <v>0.0674971559698178</v>
      </c>
      <c r="K14" s="25" t="n">
        <f aca="false">K10/K9</f>
        <v>0.065259768520362</v>
      </c>
      <c r="L14" s="25" t="n">
        <f aca="false">L10/L9</f>
        <v>0.0896057106258641</v>
      </c>
      <c r="M14" s="25" t="n">
        <f aca="false">M10/M9</f>
        <v>0.0849940713438764</v>
      </c>
      <c r="N14" s="25" t="n">
        <f aca="false">N10/N9</f>
        <v>0.0961263886169699</v>
      </c>
      <c r="O14" s="25" t="n">
        <f aca="false">O10/O9</f>
        <v>0.0807645360088125</v>
      </c>
    </row>
    <row r="15" customFormat="false" ht="15" hidden="false" customHeight="false" outlineLevel="0" collapsed="false">
      <c r="B15" s="4" t="s">
        <v>645</v>
      </c>
      <c r="C15" s="17" t="s">
        <v>91</v>
      </c>
      <c r="H15" s="25" t="n">
        <f aca="false">H9/D9-1</f>
        <v>0.0956928347122386</v>
      </c>
      <c r="I15" s="25" t="n">
        <f aca="false">I9/E9-1</f>
        <v>0.127387224295818</v>
      </c>
      <c r="J15" s="25" t="n">
        <f aca="false">J9/F9-1</f>
        <v>0.128313533631998</v>
      </c>
      <c r="K15" s="25" t="n">
        <f aca="false">K9/G9-1</f>
        <v>0.0306812507563041</v>
      </c>
      <c r="L15" s="25" t="n">
        <f aca="false">L9/H9-1</f>
        <v>0.128151318552576</v>
      </c>
      <c r="M15" s="25" t="n">
        <f aca="false">M9/I9-1</f>
        <v>0.111055557539612</v>
      </c>
      <c r="P15" s="20" t="s">
        <v>646</v>
      </c>
    </row>
    <row r="16" customFormat="false" ht="15" hidden="false" customHeight="false" outlineLevel="0" collapsed="false">
      <c r="B16" s="4" t="s">
        <v>647</v>
      </c>
      <c r="C16" s="17" t="s">
        <v>108</v>
      </c>
      <c r="I16" s="54" t="n">
        <f aca="false">H9+I9-IS!H11</f>
        <v>0</v>
      </c>
      <c r="M16" s="54" t="n">
        <f aca="false">L9+M9-IS!I11</f>
        <v>0</v>
      </c>
    </row>
    <row r="17" customFormat="false" ht="15" hidden="false" customHeight="false" outlineLevel="0" collapsed="false">
      <c r="B17" s="17" t="s">
        <v>648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60"/>
  </cols>
  <sheetData>
    <row r="1" customFormat="false" ht="17.35" hidden="false" customHeight="false" outlineLevel="0" collapsed="false">
      <c r="B1" s="9" t="s">
        <v>649</v>
      </c>
    </row>
    <row r="2" customFormat="false" ht="15" hidden="false" customHeight="false" outlineLevel="0" collapsed="false">
      <c r="B2" s="10" t="s">
        <v>650</v>
      </c>
    </row>
    <row r="4" customFormat="false" ht="15" hidden="false" customHeight="false" outlineLevel="0" collapsed="false">
      <c r="B4" s="11" t="s">
        <v>651</v>
      </c>
      <c r="C4" s="11" t="s">
        <v>652</v>
      </c>
      <c r="D4" s="11" t="s">
        <v>653</v>
      </c>
      <c r="E4" s="11" t="s">
        <v>654</v>
      </c>
      <c r="F4" s="11" t="s">
        <v>655</v>
      </c>
    </row>
    <row r="5" customFormat="false" ht="15" hidden="false" customHeight="false" outlineLevel="0" collapsed="false">
      <c r="B5" s="4" t="s">
        <v>656</v>
      </c>
      <c r="C5" s="76" t="n">
        <f aca="false">BS!K44</f>
        <v>0</v>
      </c>
      <c r="D5" s="77" t="n">
        <v>0</v>
      </c>
      <c r="E5" s="78" t="str">
        <f aca="false">IF(ABS(C5)&lt;=D5+0.000000001,"OK","CHECK")</f>
        <v>OK</v>
      </c>
      <c r="F5" s="17" t="s">
        <v>657</v>
      </c>
    </row>
    <row r="6" customFormat="false" ht="15" hidden="false" customHeight="false" outlineLevel="0" collapsed="false">
      <c r="B6" s="4" t="s">
        <v>658</v>
      </c>
      <c r="C6" s="76" t="n">
        <f aca="false">BS!L44</f>
        <v>0</v>
      </c>
      <c r="D6" s="77" t="n">
        <v>0</v>
      </c>
      <c r="E6" s="78" t="str">
        <f aca="false">IF(ABS(C6)&lt;=D6+0.000000001,"OK","CHECK")</f>
        <v>OK</v>
      </c>
      <c r="F6" s="17" t="s">
        <v>657</v>
      </c>
    </row>
    <row r="7" customFormat="false" ht="15" hidden="false" customHeight="false" outlineLevel="0" collapsed="false">
      <c r="B7" s="4" t="s">
        <v>659</v>
      </c>
      <c r="C7" s="76" t="n">
        <f aca="false">BS!M44</f>
        <v>0</v>
      </c>
      <c r="D7" s="77" t="n">
        <v>0</v>
      </c>
      <c r="E7" s="78" t="str">
        <f aca="false">IF(ABS(C7)&lt;=D7+0.000000001,"OK","CHECK")</f>
        <v>OK</v>
      </c>
      <c r="F7" s="17" t="s">
        <v>657</v>
      </c>
    </row>
    <row r="8" customFormat="false" ht="15" hidden="false" customHeight="false" outlineLevel="0" collapsed="false">
      <c r="B8" s="4" t="s">
        <v>660</v>
      </c>
      <c r="C8" s="76" t="n">
        <f aca="false">BS!N44</f>
        <v>0</v>
      </c>
      <c r="D8" s="77" t="n">
        <v>0</v>
      </c>
      <c r="E8" s="78" t="str">
        <f aca="false">IF(ABS(C8)&lt;=D8+0.000000001,"OK","CHECK")</f>
        <v>OK</v>
      </c>
      <c r="F8" s="17" t="s">
        <v>657</v>
      </c>
    </row>
    <row r="9" customFormat="false" ht="15" hidden="false" customHeight="false" outlineLevel="0" collapsed="false">
      <c r="B9" s="4" t="s">
        <v>661</v>
      </c>
      <c r="C9" s="76" t="n">
        <f aca="false">BS!O44</f>
        <v>0</v>
      </c>
      <c r="D9" s="77" t="n">
        <v>0</v>
      </c>
      <c r="E9" s="78" t="str">
        <f aca="false">IF(ABS(C9)&lt;=D9+0.000000001,"OK","CHECK")</f>
        <v>OK</v>
      </c>
      <c r="F9" s="17" t="s">
        <v>657</v>
      </c>
    </row>
    <row r="10" customFormat="false" ht="15" hidden="false" customHeight="false" outlineLevel="0" collapsed="false">
      <c r="B10" s="4" t="s">
        <v>662</v>
      </c>
      <c r="C10" s="76" t="n">
        <f aca="false">BS!D44</f>
        <v>0</v>
      </c>
      <c r="D10" s="77" t="n">
        <v>0.5</v>
      </c>
      <c r="E10" s="78" t="str">
        <f aca="false">IF(ABS(C10)&lt;=D10+0.000000001,"OK","CHECK")</f>
        <v>OK</v>
      </c>
      <c r="F10" s="17" t="s">
        <v>663</v>
      </c>
    </row>
    <row r="11" customFormat="false" ht="15" hidden="false" customHeight="false" outlineLevel="0" collapsed="false">
      <c r="B11" s="4" t="s">
        <v>664</v>
      </c>
      <c r="C11" s="76" t="n">
        <f aca="false">BS!E44</f>
        <v>0</v>
      </c>
      <c r="D11" s="77" t="n">
        <v>0.5</v>
      </c>
      <c r="E11" s="78" t="str">
        <f aca="false">IF(ABS(C11)&lt;=D11+0.000000001,"OK","CHECK")</f>
        <v>OK</v>
      </c>
      <c r="F11" s="17" t="s">
        <v>663</v>
      </c>
    </row>
    <row r="12" customFormat="false" ht="15" hidden="false" customHeight="false" outlineLevel="0" collapsed="false">
      <c r="B12" s="4" t="s">
        <v>665</v>
      </c>
      <c r="C12" s="76" t="n">
        <f aca="false">BS!F44</f>
        <v>0</v>
      </c>
      <c r="D12" s="77" t="n">
        <v>0.5</v>
      </c>
      <c r="E12" s="78" t="str">
        <f aca="false">IF(ABS(C12)&lt;=D12+0.000000001,"OK","CHECK")</f>
        <v>OK</v>
      </c>
      <c r="F12" s="17" t="s">
        <v>663</v>
      </c>
    </row>
    <row r="13" customFormat="false" ht="15" hidden="false" customHeight="false" outlineLevel="0" collapsed="false">
      <c r="B13" s="4" t="s">
        <v>666</v>
      </c>
      <c r="C13" s="76" t="n">
        <f aca="false">BS!G44</f>
        <v>0</v>
      </c>
      <c r="D13" s="77" t="n">
        <v>0.5</v>
      </c>
      <c r="E13" s="78" t="str">
        <f aca="false">IF(ABS(C13)&lt;=D13+0.000000001,"OK","CHECK")</f>
        <v>OK</v>
      </c>
      <c r="F13" s="17" t="s">
        <v>663</v>
      </c>
    </row>
    <row r="14" customFormat="false" ht="15" hidden="false" customHeight="false" outlineLevel="0" collapsed="false">
      <c r="B14" s="4" t="s">
        <v>667</v>
      </c>
      <c r="C14" s="76" t="n">
        <f aca="false">BS!I44</f>
        <v>0</v>
      </c>
      <c r="D14" s="77" t="n">
        <v>0.5</v>
      </c>
      <c r="E14" s="78" t="str">
        <f aca="false">IF(ABS(C14)&lt;=D14+0.000000001,"OK","CHECK")</f>
        <v>OK</v>
      </c>
      <c r="F14" s="17" t="s">
        <v>663</v>
      </c>
    </row>
    <row r="15" customFormat="false" ht="15" hidden="false" customHeight="false" outlineLevel="0" collapsed="false">
      <c r="B15" s="4" t="s">
        <v>668</v>
      </c>
      <c r="C15" s="54" t="n">
        <f aca="false">CF!K48-BS!K9</f>
        <v>0</v>
      </c>
      <c r="D15" s="77" t="n">
        <v>0</v>
      </c>
      <c r="E15" s="78" t="str">
        <f aca="false">IF(ABS(C15)&lt;=D15+0.000000001,"OK","CHECK")</f>
        <v>OK</v>
      </c>
      <c r="F15" s="17" t="s">
        <v>657</v>
      </c>
    </row>
    <row r="16" customFormat="false" ht="15" hidden="false" customHeight="false" outlineLevel="0" collapsed="false">
      <c r="B16" s="4" t="s">
        <v>669</v>
      </c>
      <c r="C16" s="54" t="n">
        <f aca="false">CF!L48-BS!L9</f>
        <v>0</v>
      </c>
      <c r="D16" s="77" t="n">
        <v>0</v>
      </c>
      <c r="E16" s="78" t="str">
        <f aca="false">IF(ABS(C16)&lt;=D16+0.000000001,"OK","CHECK")</f>
        <v>OK</v>
      </c>
      <c r="F16" s="17" t="s">
        <v>657</v>
      </c>
    </row>
    <row r="17" customFormat="false" ht="15" hidden="false" customHeight="false" outlineLevel="0" collapsed="false">
      <c r="B17" s="4" t="s">
        <v>670</v>
      </c>
      <c r="C17" s="54" t="n">
        <f aca="false">CF!M48-BS!M9</f>
        <v>0</v>
      </c>
      <c r="D17" s="77" t="n">
        <v>0</v>
      </c>
      <c r="E17" s="78" t="str">
        <f aca="false">IF(ABS(C17)&lt;=D17+0.000000001,"OK","CHECK")</f>
        <v>OK</v>
      </c>
      <c r="F17" s="17" t="s">
        <v>657</v>
      </c>
    </row>
    <row r="18" customFormat="false" ht="15" hidden="false" customHeight="false" outlineLevel="0" collapsed="false">
      <c r="B18" s="4" t="s">
        <v>671</v>
      </c>
      <c r="C18" s="54" t="n">
        <f aca="false">CF!N48-BS!N9</f>
        <v>0</v>
      </c>
      <c r="D18" s="77" t="n">
        <v>0</v>
      </c>
      <c r="E18" s="78" t="str">
        <f aca="false">IF(ABS(C18)&lt;=D18+0.000000001,"OK","CHECK")</f>
        <v>OK</v>
      </c>
      <c r="F18" s="17" t="s">
        <v>657</v>
      </c>
    </row>
    <row r="19" customFormat="false" ht="15" hidden="false" customHeight="false" outlineLevel="0" collapsed="false">
      <c r="B19" s="4" t="s">
        <v>672</v>
      </c>
      <c r="C19" s="54" t="n">
        <f aca="false">CF!O48-BS!O9</f>
        <v>0</v>
      </c>
      <c r="D19" s="77" t="n">
        <v>0</v>
      </c>
      <c r="E19" s="78" t="str">
        <f aca="false">IF(ABS(C19)&lt;=D19+0.000000001,"OK","CHECK")</f>
        <v>OK</v>
      </c>
      <c r="F19" s="17" t="s">
        <v>657</v>
      </c>
    </row>
    <row r="20" customFormat="false" ht="15" hidden="false" customHeight="false" outlineLevel="0" collapsed="false">
      <c r="B20" s="4" t="s">
        <v>673</v>
      </c>
      <c r="C20" s="54" t="n">
        <f aca="false">SUMPRODUCT(ABS(IS!D46:IS46))</f>
        <v>0</v>
      </c>
      <c r="D20" s="77" t="n">
        <v>3</v>
      </c>
      <c r="E20" s="78" t="str">
        <f aca="false">IF(ABS(C20)&lt;=D20+0.000000001,"OK","CHECK")</f>
        <v>OK</v>
      </c>
      <c r="F20" s="17" t="s">
        <v>674</v>
      </c>
    </row>
    <row r="21" customFormat="false" ht="15" hidden="false" customHeight="false" outlineLevel="0" collapsed="false">
      <c r="B21" s="4" t="s">
        <v>675</v>
      </c>
      <c r="C21" s="54" t="n">
        <f aca="false">SUMPRODUCT(ABS(IS!D48:IS48))</f>
        <v>0</v>
      </c>
      <c r="D21" s="77" t="n">
        <v>3</v>
      </c>
      <c r="E21" s="78" t="str">
        <f aca="false">IF(ABS(C21)&lt;=D21+0.000000001,"OK","CHECK")</f>
        <v>OK</v>
      </c>
      <c r="F21" s="17" t="s">
        <v>674</v>
      </c>
    </row>
    <row r="22" customFormat="false" ht="15" hidden="false" customHeight="false" outlineLevel="0" collapsed="false">
      <c r="B22" s="4" t="s">
        <v>676</v>
      </c>
      <c r="C22" s="54" t="n">
        <f aca="false">SUMPRODUCT(ABS(IS!D50:IS50))</f>
        <v>0</v>
      </c>
      <c r="D22" s="77" t="n">
        <v>3</v>
      </c>
      <c r="E22" s="78" t="str">
        <f aca="false">IF(ABS(C22)&lt;=D22+0.000000001,"OK","CHECK")</f>
        <v>OK</v>
      </c>
      <c r="F22" s="17" t="s">
        <v>674</v>
      </c>
    </row>
    <row r="23" customFormat="false" ht="15" hidden="false" customHeight="false" outlineLevel="0" collapsed="false">
      <c r="B23" s="4" t="s">
        <v>677</v>
      </c>
      <c r="C23" s="54" t="n">
        <f aca="false">SUMPRODUCT(ABS(IS!D52:IS52))</f>
        <v>0</v>
      </c>
      <c r="D23" s="77" t="n">
        <v>3</v>
      </c>
      <c r="E23" s="78" t="str">
        <f aca="false">IF(ABS(C23)&lt;=D23+0.000000001,"OK","CHECK")</f>
        <v>OK</v>
      </c>
      <c r="F23" s="17" t="s">
        <v>674</v>
      </c>
    </row>
    <row r="24" customFormat="false" ht="15" hidden="false" customHeight="false" outlineLevel="0" collapsed="false">
      <c r="B24" s="4" t="s">
        <v>678</v>
      </c>
      <c r="C24" s="54" t="n">
        <f aca="false">SUMPRODUCT(ABS(IS!D54:IS54))</f>
        <v>0</v>
      </c>
      <c r="D24" s="77" t="n">
        <v>3</v>
      </c>
      <c r="E24" s="78" t="str">
        <f aca="false">IF(ABS(C24)&lt;=D24+0.000000001,"OK","CHECK")</f>
        <v>OK</v>
      </c>
      <c r="F24" s="17" t="s">
        <v>674</v>
      </c>
    </row>
    <row r="25" customFormat="false" ht="15" hidden="false" customHeight="false" outlineLevel="0" collapsed="false">
      <c r="B25" s="4" t="s">
        <v>679</v>
      </c>
      <c r="C25" s="54" t="n">
        <f aca="false">MAX(ABS(MIN(IS!D58:IS58)),ABS(MAX(IS!D58:IS58)))</f>
        <v>0.00340326269710456</v>
      </c>
      <c r="D25" s="77" t="n">
        <v>0.006</v>
      </c>
      <c r="E25" s="78" t="str">
        <f aca="false">IF(ABS(C25)&lt;=D25+0.000000001,"OK","CHECK")</f>
        <v>OK</v>
      </c>
      <c r="F25" s="17" t="s">
        <v>680</v>
      </c>
    </row>
    <row r="26" customFormat="false" ht="15" hidden="false" customHeight="false" outlineLevel="0" collapsed="false">
      <c r="B26" s="4" t="s">
        <v>681</v>
      </c>
      <c r="C26" s="54" t="n">
        <f aca="false">SUMPRODUCT(ABS(IS!F56:IS56))</f>
        <v>0.0759999999994534</v>
      </c>
      <c r="D26" s="77" t="n">
        <v>0.5</v>
      </c>
      <c r="E26" s="78" t="str">
        <f aca="false">IF(ABS(C26)&lt;=D26+0.000000001,"OK","CHECK")</f>
        <v>OK</v>
      </c>
      <c r="F26" s="17" t="s">
        <v>682</v>
      </c>
    </row>
    <row r="27" customFormat="false" ht="15" hidden="false" customHeight="false" outlineLevel="0" collapsed="false">
      <c r="B27" s="4" t="s">
        <v>683</v>
      </c>
      <c r="C27" s="54" t="n">
        <f aca="false">SUMPRODUCT(ABS(BS!D54:BS54))</f>
        <v>0</v>
      </c>
      <c r="D27" s="77" t="n">
        <v>2.5</v>
      </c>
      <c r="E27" s="78" t="str">
        <f aca="false">IF(ABS(C27)&lt;=D27+0.000000001,"OK","CHECK")</f>
        <v>OK</v>
      </c>
      <c r="F27" s="17" t="s">
        <v>684</v>
      </c>
    </row>
    <row r="28" customFormat="false" ht="15" hidden="false" customHeight="false" outlineLevel="0" collapsed="false">
      <c r="B28" s="4" t="s">
        <v>685</v>
      </c>
      <c r="C28" s="54" t="n">
        <f aca="false">SUMPRODUCT(ABS(BS!D56:BS56))</f>
        <v>0</v>
      </c>
      <c r="D28" s="77" t="n">
        <v>2.5</v>
      </c>
      <c r="E28" s="78" t="str">
        <f aca="false">IF(ABS(C28)&lt;=D28+0.000000001,"OK","CHECK")</f>
        <v>OK</v>
      </c>
      <c r="F28" s="17" t="s">
        <v>684</v>
      </c>
    </row>
    <row r="29" customFormat="false" ht="15" hidden="false" customHeight="false" outlineLevel="0" collapsed="false">
      <c r="B29" s="4" t="s">
        <v>686</v>
      </c>
      <c r="C29" s="54" t="n">
        <f aca="false">SUMPRODUCT(ABS(BS!D58:BS58))</f>
        <v>0</v>
      </c>
      <c r="D29" s="77" t="n">
        <v>2.5</v>
      </c>
      <c r="E29" s="78" t="str">
        <f aca="false">IF(ABS(C29)&lt;=D29+0.000000001,"OK","CHECK")</f>
        <v>OK</v>
      </c>
      <c r="F29" s="17" t="s">
        <v>684</v>
      </c>
    </row>
    <row r="30" customFormat="false" ht="15" hidden="false" customHeight="false" outlineLevel="0" collapsed="false">
      <c r="B30" s="4" t="s">
        <v>687</v>
      </c>
      <c r="C30" s="54" t="n">
        <f aca="false">SUMPRODUCT(ABS(CF!D54:CF54))</f>
        <v>0</v>
      </c>
      <c r="D30" s="77" t="n">
        <v>3</v>
      </c>
      <c r="E30" s="78" t="str">
        <f aca="false">IF(ABS(C30)&lt;=D30+0.000000001,"OK","CHECK")</f>
        <v>OK</v>
      </c>
      <c r="F30" s="17" t="s">
        <v>663</v>
      </c>
    </row>
    <row r="31" customFormat="false" ht="15" hidden="false" customHeight="false" outlineLevel="0" collapsed="false">
      <c r="B31" s="4" t="s">
        <v>688</v>
      </c>
      <c r="C31" s="54" t="n">
        <f aca="false">SUMPRODUCT(ABS(CF!D56:CF56))</f>
        <v>0</v>
      </c>
      <c r="D31" s="77" t="n">
        <v>3</v>
      </c>
      <c r="E31" s="78" t="str">
        <f aca="false">IF(ABS(C31)&lt;=D31+0.000000001,"OK","CHECK")</f>
        <v>OK</v>
      </c>
      <c r="F31" s="17" t="s">
        <v>663</v>
      </c>
    </row>
    <row r="32" customFormat="false" ht="15" hidden="false" customHeight="false" outlineLevel="0" collapsed="false">
      <c r="B32" s="4" t="s">
        <v>689</v>
      </c>
      <c r="C32" s="54" t="n">
        <f aca="false">SUMPRODUCT(ABS(CF!D58:CF58))</f>
        <v>0</v>
      </c>
      <c r="D32" s="77" t="n">
        <v>3</v>
      </c>
      <c r="E32" s="78" t="str">
        <f aca="false">IF(ABS(C32)&lt;=D32+0.000000001,"OK","CHECK")</f>
        <v>OK</v>
      </c>
      <c r="F32" s="17" t="s">
        <v>663</v>
      </c>
    </row>
    <row r="33" customFormat="false" ht="15" hidden="false" customHeight="false" outlineLevel="0" collapsed="false">
      <c r="B33" s="4" t="s">
        <v>690</v>
      </c>
      <c r="C33" s="54" t="n">
        <f aca="false">SUMPRODUCT(ABS(CF!D60:CF60))</f>
        <v>0</v>
      </c>
      <c r="D33" s="77" t="n">
        <v>3</v>
      </c>
      <c r="E33" s="78" t="str">
        <f aca="false">IF(ABS(C33)&lt;=D33+0.000000001,"OK","CHECK")</f>
        <v>OK</v>
      </c>
      <c r="F33" s="17" t="s">
        <v>663</v>
      </c>
    </row>
    <row r="34" customFormat="false" ht="15" hidden="false" customHeight="false" outlineLevel="0" collapsed="false">
      <c r="B34" s="4" t="s">
        <v>691</v>
      </c>
      <c r="C34" s="54" t="n">
        <f aca="false">ABS(CF!D48-BS!D9)+ABS(CF!E48-BS!E9)+ABS(CF!F48-BS!F9)+ABS(CF!G48-BS!G9)+ABS(CF!I48-BS!I9)</f>
        <v>0</v>
      </c>
      <c r="D34" s="77" t="n">
        <v>0.5</v>
      </c>
      <c r="E34" s="78" t="str">
        <f aca="false">IF(ABS(C34)&lt;=D34+0.000000001,"OK","CHECK")</f>
        <v>OK</v>
      </c>
      <c r="F34" s="17" t="s">
        <v>663</v>
      </c>
    </row>
    <row r="35" customFormat="false" ht="15" hidden="false" customHeight="false" outlineLevel="0" collapsed="false">
      <c r="B35" s="4" t="s">
        <v>692</v>
      </c>
      <c r="C35" s="54" t="n">
        <f aca="false">ABS('Operating build'!D38+CF!D33)+ABS('Operating build'!E38+CF!E33)+ABS('Operating build'!F38+CF!F33)+ABS('Operating build'!G38+CF!G33)</f>
        <v>0</v>
      </c>
      <c r="D35" s="77" t="n">
        <v>0.5</v>
      </c>
      <c r="E35" s="78" t="str">
        <f aca="false">IF(ABS(C35)&lt;=D35+0.000000001,"OK","CHECK")</f>
        <v>OK</v>
      </c>
      <c r="F35" s="17" t="s">
        <v>663</v>
      </c>
    </row>
    <row r="36" customFormat="false" ht="15" hidden="false" customHeight="false" outlineLevel="0" collapsed="false">
      <c r="B36" s="4" t="s">
        <v>693</v>
      </c>
      <c r="C36" s="54" t="n">
        <f aca="false">ABS(Quarterly!I16)+ABS(Quarterly!M16)</f>
        <v>0</v>
      </c>
      <c r="D36" s="77" t="n">
        <v>0.5</v>
      </c>
      <c r="E36" s="78" t="str">
        <f aca="false">IF(ABS(C36)&lt;=D36+0.000000001,"OK","CHECK")</f>
        <v>OK</v>
      </c>
      <c r="F36" s="17" t="s">
        <v>663</v>
      </c>
    </row>
    <row r="37" customFormat="false" ht="15" hidden="false" customHeight="false" outlineLevel="0" collapsed="false">
      <c r="B37" s="4" t="s">
        <v>694</v>
      </c>
      <c r="C37" s="54" t="n">
        <f aca="false">IS!J11-(IS!G11+IS!I11-IS!H11)</f>
        <v>0</v>
      </c>
      <c r="D37" s="77" t="n">
        <v>0</v>
      </c>
      <c r="E37" s="78" t="str">
        <f aca="false">IF(ABS(C37)&lt;=D37+0.000000001,"OK","CHECK")</f>
        <v>OK</v>
      </c>
      <c r="F37" s="17" t="s">
        <v>695</v>
      </c>
    </row>
    <row r="38" customFormat="false" ht="15" hidden="false" customHeight="false" outlineLevel="0" collapsed="false">
      <c r="B38" s="4" t="s">
        <v>696</v>
      </c>
      <c r="C38" s="54" t="n">
        <f aca="false">MIN(0,MIN(Debt!K13:O13))</f>
        <v>0</v>
      </c>
      <c r="D38" s="77" t="n">
        <v>0</v>
      </c>
      <c r="E38" s="78" t="str">
        <f aca="false">IF(ABS(C38)&lt;=D38+0.000000001,"OK","CHECK")</f>
        <v>OK</v>
      </c>
      <c r="F38" s="17" t="s">
        <v>695</v>
      </c>
    </row>
    <row r="39" customFormat="false" ht="15" hidden="false" customHeight="false" outlineLevel="0" collapsed="false">
      <c r="B39" s="4" t="s">
        <v>697</v>
      </c>
      <c r="C39" s="54" t="n">
        <f aca="false">MIN(0,MIN(Debt!K14:O14))</f>
        <v>0</v>
      </c>
      <c r="D39" s="77" t="n">
        <v>0</v>
      </c>
      <c r="E39" s="78" t="str">
        <f aca="false">IF(ABS(C39)&lt;=D39+0.000000001,"OK","CHECK")</f>
        <v>OK</v>
      </c>
      <c r="F39" s="17" t="s">
        <v>695</v>
      </c>
    </row>
    <row r="40" customFormat="false" ht="15" hidden="false" customHeight="false" outlineLevel="0" collapsed="false">
      <c r="B40" s="4" t="s">
        <v>698</v>
      </c>
      <c r="C40" s="54" t="n">
        <f aca="false">MIN(0,MIN(BS!K9:BS9)-Inputs!K54)</f>
        <v>0</v>
      </c>
      <c r="D40" s="77" t="n">
        <v>0.001</v>
      </c>
      <c r="E40" s="78" t="str">
        <f aca="false">IF(ABS(C40)&lt;=D40+0.000000001,"OK","CHECK")</f>
        <v>OK</v>
      </c>
      <c r="F40" s="17" t="s">
        <v>695</v>
      </c>
    </row>
    <row r="41" customFormat="false" ht="15" hidden="false" customHeight="false" outlineLevel="0" collapsed="false">
      <c r="B41" s="4" t="s">
        <v>699</v>
      </c>
      <c r="C41" s="54" t="n">
        <f aca="false">Sensitivity!F8-DCF!$D$81</f>
        <v>0</v>
      </c>
      <c r="D41" s="77" t="n">
        <v>0.005</v>
      </c>
      <c r="E41" s="78" t="str">
        <f aca="false">IF(ABS(C41)&lt;=D41+0.000000001,"OK","CHECK")</f>
        <v>OK</v>
      </c>
      <c r="F41" s="17" t="s">
        <v>695</v>
      </c>
    </row>
    <row r="42" customFormat="false" ht="15" hidden="false" customHeight="false" outlineLevel="0" collapsed="false">
      <c r="B42" s="4" t="s">
        <v>700</v>
      </c>
      <c r="C42" s="54" t="n">
        <f aca="false">Sensitivity!F18-DCF!$D$82</f>
        <v>0</v>
      </c>
      <c r="D42" s="77" t="n">
        <v>0.005</v>
      </c>
      <c r="E42" s="78" t="str">
        <f aca="false">IF(ABS(C42)&lt;=D42+0.000000001,"OK","CHECK")</f>
        <v>OK</v>
      </c>
      <c r="F42" s="17" t="s">
        <v>695</v>
      </c>
    </row>
    <row r="43" customFormat="false" ht="15" hidden="false" customHeight="false" outlineLevel="0" collapsed="false">
      <c r="B43" s="4" t="s">
        <v>701</v>
      </c>
      <c r="C43" s="54" t="n">
        <f aca="false">Sensitivity!F28-DCF!$D$81</f>
        <v>0</v>
      </c>
      <c r="D43" s="77" t="n">
        <v>0.005</v>
      </c>
      <c r="E43" s="78" t="str">
        <f aca="false">IF(ABS(C43)&lt;=D43+0.000000001,"OK","CHECK")</f>
        <v>OK</v>
      </c>
      <c r="F43" s="17" t="s">
        <v>695</v>
      </c>
    </row>
    <row r="44" customFormat="false" ht="15" hidden="false" customHeight="false" outlineLevel="0" collapsed="false">
      <c r="B44" s="4" t="s">
        <v>702</v>
      </c>
      <c r="C44" s="54" t="n">
        <f aca="false">IF(COUNT(DCF!$D$47,DCF!$D$50)&lt;2,0,MIN(0,DCF!$D$47-DCF!$D$50-0.01))</f>
        <v>0</v>
      </c>
      <c r="D44" s="77" t="n">
        <v>0</v>
      </c>
      <c r="E44" s="78" t="str">
        <f aca="false">IF(ABS(C44)&lt;=D44+0.000000001,"OK","CHECK")</f>
        <v>OK</v>
      </c>
      <c r="F44" s="17" t="s">
        <v>703</v>
      </c>
    </row>
    <row r="46" customFormat="false" ht="15" hidden="false" customHeight="false" outlineLevel="0" collapsed="false">
      <c r="B46" s="3" t="s">
        <v>704</v>
      </c>
      <c r="E46" s="79" t="str">
        <f aca="false">IF(COUNTIF(E5:E44,"OK")=40,"ALL CHECKS OK","CHECK FAILURES: "&amp;(40-COUNTIF(E5:E44,"OK")))</f>
        <v>ALL CHECKS OK</v>
      </c>
    </row>
  </sheetData>
  <conditionalFormatting sqref="E5:E46">
    <cfRule type="expression" priority="2" aboveAverage="0" equalAverage="0" bottom="0" percent="0" rank="0" text="" dxfId="0">
      <formula>ISNUMBER(SEARCH("CHECK",E5))</formula>
    </cfRule>
    <cfRule type="expression" priority="3" aboveAverage="0" equalAverage="0" bottom="0" percent="0" rank="0" text="" dxfId="1">
      <formula>ISNUMBER(SEARCH("OK",E5))</formula>
    </cfRule>
  </conditionalFormatting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78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80"/>
  </cols>
  <sheetData>
    <row r="1" customFormat="false" ht="17.35" hidden="false" customHeight="false" outlineLevel="0" collapsed="false">
      <c r="B1" s="9" t="s">
        <v>705</v>
      </c>
    </row>
    <row r="2" customFormat="false" ht="15" hidden="false" customHeight="false" outlineLevel="0" collapsed="false">
      <c r="B2" s="10" t="s">
        <v>706</v>
      </c>
    </row>
    <row r="4" customFormat="false" ht="15" hidden="false" customHeight="false" outlineLevel="0" collapsed="false">
      <c r="B4" s="11" t="s">
        <v>707</v>
      </c>
      <c r="C4" s="11" t="s">
        <v>708</v>
      </c>
      <c r="D4" s="11" t="s">
        <v>709</v>
      </c>
      <c r="E4" s="11" t="s">
        <v>710</v>
      </c>
      <c r="F4" s="11" t="s">
        <v>711</v>
      </c>
    </row>
    <row r="5" customFormat="false" ht="30" hidden="false" customHeight="true" outlineLevel="0" collapsed="false">
      <c r="B5" s="3" t="n">
        <v>1</v>
      </c>
      <c r="C5" s="8" t="s">
        <v>712</v>
      </c>
      <c r="D5" s="80"/>
      <c r="E5" s="3" t="str">
        <f aca="false">IF(ISBLANK(D5),"",IF(ABS(D5-(IS!J11))&lt;=0.5,"Correct","Not yet"))</f>
        <v/>
      </c>
      <c r="F5" s="81" t="s">
        <v>713</v>
      </c>
    </row>
    <row r="6" customFormat="false" ht="30" hidden="false" customHeight="true" outlineLevel="0" collapsed="false">
      <c r="B6" s="3" t="n">
        <v>2</v>
      </c>
      <c r="C6" s="8" t="s">
        <v>714</v>
      </c>
      <c r="D6" s="82"/>
      <c r="E6" s="3" t="str">
        <f aca="false">IF(ISBLANK(D6),"",IF(ABS(D6-(IS!G41))&lt;=0.0005,"Correct","Not yet"))</f>
        <v/>
      </c>
      <c r="F6" s="81" t="s">
        <v>715</v>
      </c>
    </row>
    <row r="7" customFormat="false" ht="30" hidden="false" customHeight="true" outlineLevel="0" collapsed="false">
      <c r="B7" s="3" t="n">
        <v>3</v>
      </c>
      <c r="C7" s="8" t="s">
        <v>716</v>
      </c>
      <c r="D7" s="80"/>
      <c r="E7" s="3" t="str">
        <f aca="false">IF(ISBLANK(D7),"",IF(ABS(D7-(IS!G38))&lt;=0.5,"Correct","Not yet"))</f>
        <v/>
      </c>
      <c r="F7" s="81" t="s">
        <v>717</v>
      </c>
    </row>
    <row r="8" customFormat="false" ht="30" hidden="false" customHeight="true" outlineLevel="0" collapsed="false">
      <c r="B8" s="3" t="n">
        <v>4</v>
      </c>
      <c r="C8" s="8" t="s">
        <v>718</v>
      </c>
      <c r="D8" s="80"/>
      <c r="E8" s="3" t="str">
        <f aca="false">IF(ISBLANK(D8),"",IF(ABS(D8-('Operating build'!G21))&lt;=0.5,"Correct","Not yet"))</f>
        <v/>
      </c>
      <c r="F8" s="81" t="s">
        <v>719</v>
      </c>
    </row>
    <row r="9" customFormat="false" ht="30" hidden="false" customHeight="true" outlineLevel="0" collapsed="false">
      <c r="B9" s="3" t="n">
        <v>5</v>
      </c>
      <c r="C9" s="8" t="s">
        <v>720</v>
      </c>
      <c r="D9" s="82"/>
      <c r="E9" s="3" t="str">
        <f aca="false">IF(ISBLANK(D9),"",IF(ABS(D9-(-CF!G33/IS!G11))&lt;=0.0005,"Correct","Not yet"))</f>
        <v/>
      </c>
      <c r="F9" s="81" t="s">
        <v>721</v>
      </c>
    </row>
    <row r="10" customFormat="false" ht="30" hidden="false" customHeight="true" outlineLevel="0" collapsed="false">
      <c r="B10" s="3" t="n">
        <v>6</v>
      </c>
      <c r="C10" s="8" t="s">
        <v>722</v>
      </c>
      <c r="D10" s="80"/>
      <c r="E10" s="3" t="str">
        <f aca="false">IF(ISBLANK(D10),"",IF(ABS(D10-(BS!I49))&lt;=0.5,"Correct","Not yet"))</f>
        <v/>
      </c>
      <c r="F10" s="81" t="s">
        <v>723</v>
      </c>
    </row>
    <row r="11" customFormat="false" ht="30" hidden="false" customHeight="true" outlineLevel="0" collapsed="false">
      <c r="B11" s="3" t="n">
        <v>7</v>
      </c>
      <c r="C11" s="8" t="s">
        <v>724</v>
      </c>
      <c r="D11" s="82"/>
      <c r="E11" s="3" t="str">
        <f aca="false">IF(ISBLANK(D11),"",IF(ABS(D11-(IS!G28/IS!G27))&lt;=0.0005,"Correct","Not yet"))</f>
        <v/>
      </c>
      <c r="F11" s="81" t="s">
        <v>725</v>
      </c>
    </row>
    <row r="12" customFormat="false" ht="30" hidden="false" customHeight="true" outlineLevel="0" collapsed="false">
      <c r="B12" s="3" t="n">
        <v>8</v>
      </c>
      <c r="C12" s="8" t="s">
        <v>726</v>
      </c>
      <c r="D12" s="82"/>
      <c r="E12" s="3" t="str">
        <f aca="false">IF(ISBLANK(D12),"",IF(ABS(D12-(BS!G24/IS!G11))&lt;=0.0005,"Correct","Not yet"))</f>
        <v/>
      </c>
      <c r="F12" s="81" t="s">
        <v>727</v>
      </c>
    </row>
    <row r="13" customFormat="false" ht="30" hidden="false" customHeight="true" outlineLevel="0" collapsed="false">
      <c r="B13" s="3" t="n">
        <v>9</v>
      </c>
      <c r="C13" s="8" t="s">
        <v>728</v>
      </c>
      <c r="D13" s="83"/>
      <c r="E13" s="3" t="str">
        <f aca="false">IF(ISBLANK(D13),"",IF(ABS(D13-(1/(1+(1-0.25)*0.25)))&lt;=0.005,"Correct","Not yet"))</f>
        <v/>
      </c>
      <c r="F13" s="81" t="s">
        <v>729</v>
      </c>
    </row>
    <row r="14" customFormat="false" ht="30" hidden="false" customHeight="true" outlineLevel="0" collapsed="false">
      <c r="B14" s="3" t="n">
        <v>10</v>
      </c>
      <c r="C14" s="8" t="s">
        <v>730</v>
      </c>
      <c r="D14" s="84"/>
      <c r="E14" s="3" t="str">
        <f aca="false">IF(ISBLANK(D14),"",IF(ABS(D14-(1/1.09^0.75))&lt;=0.0005,"Correct","Not yet"))</f>
        <v/>
      </c>
      <c r="F14" s="81" t="s">
        <v>731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Texas Roadhouse (TXRH) · Advanced · Practice use only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2026-10-12T04:16:11Z</dcterms:created>
  <dc:creator>openpyxl</dc:creator>
  <dc:description/>
  <dc:language>en-US</dc:language>
  <cp:lastModifiedBy/>
  <dcterms:modified xsi:type="dcterms:W3CDTF">2026-10-12T04:16:11Z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