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12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worksheets/sheet14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ver" sheetId="1" state="visible" r:id="rId3"/>
    <sheet name="Inputs" sheetId="2" state="visible" r:id="rId4"/>
    <sheet name="Revenue &amp; ARR build" sheetId="3" state="visible" r:id="rId5"/>
    <sheet name="IS" sheetId="4" state="visible" r:id="rId6"/>
    <sheet name="BS" sheetId="5" state="visible" r:id="rId7"/>
    <sheet name="CF" sheetId="6" state="visible" r:id="rId8"/>
    <sheet name="Debt" sheetId="7" state="visible" r:id="rId9"/>
    <sheet name="DCF" sheetId="8" state="visible" r:id="rId10"/>
    <sheet name="Comps" sheetId="9" state="visible" r:id="rId11"/>
    <sheet name="Sensitivity" sheetId="10" state="visible" r:id="rId12"/>
    <sheet name="Football field" sheetId="11" state="visible" r:id="rId13"/>
    <sheet name="Quarterly" sheetId="12" state="visible" r:id="rId14"/>
    <sheet name="Checks" sheetId="13" state="visible" r:id="rId15"/>
    <sheet name="Practice" sheetId="14" state="visible" r:id="rId16"/>
  </sheets>
  <definedNames>
    <definedName function="false" hidden="false" localSheetId="4" name="_xlnm.Print_Area" vbProcedure="false">BS!$A$1:$P$62</definedName>
    <definedName function="false" hidden="false" localSheetId="5" name="_xlnm.Print_Area" vbProcedure="false">CF!$A$1:$P$62</definedName>
    <definedName function="false" hidden="false" localSheetId="12" name="_xlnm.Print_Area" vbProcedure="false">Checks!$A$1:$F$50</definedName>
    <definedName function="false" hidden="false" localSheetId="8" name="_xlnm.Print_Area" vbProcedure="false">Comps!$A$1:$X$56</definedName>
    <definedName function="false" hidden="false" localSheetId="0" name="_xlnm.Print_Area" vbProcedure="false">Cover!$A$1:$C$40</definedName>
    <definedName function="false" hidden="false" localSheetId="7" name="_xlnm.Print_Area" vbProcedure="false">DCF!$A$1:$P$85</definedName>
    <definedName function="false" hidden="false" localSheetId="6" name="_xlnm.Print_Area" vbProcedure="false">Debt!$A$1:$P$43</definedName>
    <definedName function="false" hidden="false" localSheetId="10" name="_xlnm.Print_Area" vbProcedure="false">'Football field'!$A$1:$G$14</definedName>
    <definedName function="false" hidden="false" localSheetId="1" name="_xlnm.Print_Area" vbProcedure="false">Inputs!$A$1:$P$73</definedName>
    <definedName function="false" hidden="false" localSheetId="3" name="_xlnm.Print_Area" vbProcedure="false">IS!$A$1:$P$52</definedName>
    <definedName function="false" hidden="false" localSheetId="13" name="_xlnm.Print_Area" vbProcedure="false">Practice!$A$1:$F$14</definedName>
    <definedName function="false" hidden="false" localSheetId="11" name="_xlnm.Print_Area" vbProcedure="false">Quarterly!$A$1:$P$25</definedName>
    <definedName function="false" hidden="false" localSheetId="2" name="_xlnm.Print_Area" vbProcedure="false">'Revenue &amp; ARR build'!$A$1:$P$32</definedName>
    <definedName function="false" hidden="false" localSheetId="9" name="_xlnm.Print_Area" vbProcedure="false">Sensitivity!$A$1:$J$32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<sst xmlns="http://schemas.openxmlformats.org/spreadsheetml/2006/main" count="1337" uniqueCount="788">
  <si>
    <t xml:space="preserve">Tyler Technologies (NYSE: TYL)</t>
  </si>
  <si>
    <t xml:space="preserve">Student model template — build the yellow cells</t>
  </si>
  <si>
    <t xml:space="preserve">Case</t>
  </si>
  <si>
    <t xml:space="preserve">IC Simulator investment banking case: Tyler Technologies — SaaS transition, levered buyback and the AI-derating debate (writing + modeling)</t>
  </si>
  <si>
    <t xml:space="preserve">Case date</t>
  </si>
  <si>
    <t xml:space="preserve">09 October 2026 (market data as of close 09 Oct 2026)</t>
  </si>
  <si>
    <t xml:space="preserve">Version</t>
  </si>
  <si>
    <t xml:space="preserve">v1.0 · 12 Oct 2026</t>
  </si>
  <si>
    <t xml:space="preserve">Level</t>
  </si>
  <si>
    <t xml:space="preserve">Advanced (take-home, 1–2 days) · uncalibrated</t>
  </si>
  <si>
    <t xml:space="preserve">Use</t>
  </si>
  <si>
    <t xml:space="preserve">Practice use only. Built from public SEC filings; not investment advice.</t>
  </si>
  <si>
    <t xml:space="preserve">Units</t>
  </si>
  <si>
    <t xml:space="preserve">$ in millions unless stated; shares in millions; per-share in $; calendar fiscal years.</t>
  </si>
  <si>
    <t xml:space="preserve">Master check</t>
  </si>
  <si>
    <t xml:space="preserve">Tab map</t>
  </si>
  <si>
    <t xml:space="preserve">Cover</t>
  </si>
  <si>
    <t xml:space="preserve">This page: case identity, master check, tab map and conventions.</t>
  </si>
  <si>
    <t xml:space="preserve">Inputs</t>
  </si>
  <si>
    <t xml:space="preserve">Every forecast driver (blue) with history alongside and a dated source or "Judgment" rationale; market and valuation inputs (column D) incl. the 2031 convertible terms.</t>
  </si>
  <si>
    <t xml:space="preserve">Revenue &amp; ARR build</t>
  </si>
  <si>
    <t xml:space="preserve">Revenue by line (SaaS, transaction fees, maintenance, services, other); recurring mix; ARR; DSO; deferred revenue ÷ (SaaS + maintenance); RPO disclosure.</t>
  </si>
  <si>
    <t xml:space="preserve">IS</t>
  </si>
  <si>
    <t xml:space="preserve">Income statement FY22A–FY25A, 6M25A, 6M26A, LTM Jun-26 (formula) and FY26E–FY30E; share count with buybacks; EPS incl./excl. the remeasurement gain; EBITDA and EBITDA + SBC; reconciliation.</t>
  </si>
  <si>
    <t xml:space="preserve">BS</t>
  </si>
  <si>
    <t xml:space="preserve">Balance sheet (incl. Jun-25 for seasonality) with roll-forwards (PP&amp;E, software, intangibles, goodwill, notes, equity) and balance check; reconciliation.</t>
  </si>
  <si>
    <t xml:space="preserve">CF</t>
  </si>
  <si>
    <t xml:space="preserve">Cash flow statement as filed; forecast from balance-sheet movements; company-defined FCF and FCF after SBC; reconciliation.</t>
  </si>
  <si>
    <t xml:space="preserve">Debt</t>
  </si>
  <si>
    <t xml:space="preserve">2026 notes repayment; 2031 convertible (principal, discount accretion, coupon); $1bn revolver (min-cash draw / sweep, opening-balance interest); interest income; conversion analysis.</t>
  </si>
  <si>
    <t xml:space="preserve">DCF</t>
  </si>
  <si>
    <t xml:space="preserve">UFCF (SBC treated as a cost), WACC (CAPM, peer beta relevered, straight-debt cost), mid-period discounting from 30 Jun 2026, Gordon and exit TVs, EV-to-equity bridge with notes at principal, roll-forward to 9 Oct 2026.</t>
  </si>
  <si>
    <t xml:space="preserve">Comps</t>
  </si>
  <si>
    <t xml:space="preserve">Five vertical-software peers: price, shares, EV, LTM build (FY + YTD − prior YTD), multiples incl. EV/revenue, betas.</t>
  </si>
  <si>
    <t xml:space="preserve">Sensitivity</t>
  </si>
  <si>
    <t xml:space="preserve">Three live-formula 2-D grids: WACC × g, WACC × exit multiple, revenue growth Δ × EBITDA margin Δ.</t>
  </si>
  <si>
    <t xml:space="preserve">Football field</t>
  </si>
  <si>
    <t xml:space="preserve">Valuation range summary and chart (52-week range, comps, DCF).</t>
  </si>
  <si>
    <t xml:space="preserve">Quarterly</t>
  </si>
  <si>
    <t xml:space="preserve">Ten quarters (1Q24–2Q26) by revenue type, Q4 derived = FY − 9M; ARR and growth; tie to reported ARR.</t>
  </si>
  <si>
    <t xml:space="preserve">Checks</t>
  </si>
  <si>
    <t xml:space="preserve">Every tie and internal check with status; master check feeds the Cover.</t>
  </si>
  <si>
    <t xml:space="preserve">Practice</t>
  </si>
  <si>
    <t xml:space="preserve">Ten warm-up drills on the filed history and convertible mechanics with instant Correct / Not yet feedback (no valuation outputs).</t>
  </si>
  <si>
    <t xml:space="preserve">Read me: conventions</t>
  </si>
  <si>
    <t xml:space="preserve">Colour code</t>
  </si>
  <si>
    <t xml:space="preserve">Blue font = hard-coded input or filed figure; black = formula; green = direct link to another tab; yellow fill = key output (answer model) or a cell you must build (student template); shaded cell in sensitivity grids = base case.</t>
  </si>
  <si>
    <t xml:space="preserve">Sign convention</t>
  </si>
  <si>
    <t xml:space="preserve">Income-statement costs are stored positive and subtracted (interest expense positive). Cash-flow statement as filed: inflows positive, outflows negative.</t>
  </si>
  <si>
    <t xml:space="preserve">Periods</t>
  </si>
  <si>
    <t xml:space="preserve">FY = calendar fiscal year (A = actual from 10-K, E = estimate). 6M = six months to 30 June (10-Q). LTM Jun-26 = FY25A + 6M26A − 6M25A, always a formula. Row 5 = period-end date; row 6 = weeks (52 for every full year).</t>
  </si>
  <si>
    <t xml:space="preserve">$ in millions (filed $ thousands ÷ 1,000, unrounded so ties are exact), shares in millions, per-share in $.</t>
  </si>
  <si>
    <t xml:space="preserve">Not available</t>
  </si>
  <si>
    <t xml:space="preserve">Blank cell + note in the Source column: n/a = not applicable; n.d. = not disclosed; n.m. = not meaningful. No text in numeric cells.</t>
  </si>
  <si>
    <t xml:space="preserve">Internal builds must equal exactly 0.00. Ties to SEC filings pass if |Δ| ≤ 0.5 × unit ($0.5M). See Checks tab.</t>
  </si>
  <si>
    <t xml:space="preserve">Definitions</t>
  </si>
  <si>
    <t xml:space="preserve">Recurring revenue = SaaS + transaction fees + maintenance. ARR = current-quarter recurring revenue × 4 (Tyler definition). EBITDA = GAAP operating income + CF-statement D&amp;A (after SBC). UFCF = EBIT × (1 − t) + D&amp;A − capex (incl. capitalised software) − acquisitions ± working capital; SBC is NOT added back. Company FCF = CFO − PP&amp;E − software development (SBC added back inside CFO).</t>
  </si>
  <si>
    <t xml:space="preserve">Convertible notes</t>
  </si>
  <si>
    <t xml:space="preserve">Valued at principal ($1,437.5M) in the bridge. With the share price below the $405.94 conversion price (and a capped call to $655.77), no extra shares are added; the Debt tab shows the net-share-settlement arithmetic.</t>
  </si>
  <si>
    <t xml:space="preserve">Circularity</t>
  </si>
  <si>
    <t xml:space="preserve">None. Revolver interest is charged on the opening balance and interest income on opening cash and investments; FY26E 2H items run off the 30 Jun 2026 balance sheet.</t>
  </si>
  <si>
    <t xml:space="preserve">Sources</t>
  </si>
  <si>
    <t xml:space="preserve">10-K FY2025 (filed 18 Feb 2026, acc. 0000860731-26-000016); 10-K FY2024 (0000860731-25-000007); 10-K FY2023 (0000860731-24-000006); 10-Q 2Q26 (0000860731-26-000050); 10-Q 2Q25 (0000860731-25-000036); 10-Qs 1Q24–1Q26; 8-Ks 14 May 2026 (2031 notes), 29 May 2026 (credit agreement), 29 Jul 2026 (Q2 results), 15 Sep 2026 (10b5-1 plan). Full list with URLs in TYL-sources.md.</t>
  </si>
  <si>
    <t xml:space="preserve">Student instructions</t>
  </si>
  <si>
    <t xml:space="preserve">Build every yellow cell. Do not overwrite blue historical data. Set your own drivers on Inputs (columns K–O) with a rationale in column P. When the Checks tab shows ALL CHECKS OK and the DCF tab produces a value, write your memo. Compare against the answer model only after submitting.</t>
  </si>
  <si>
    <t xml:space="preserve">Tyler Technologies (TYL) — Forecast assumptions and market inputs</t>
  </si>
  <si>
    <t xml:space="preserve">(Blue = input; black = formula; history alongside each driver. Calendar fiscal years. Every forecast driver carries a dated source or "Judgment" with a rationale.)</t>
  </si>
  <si>
    <t xml:space="preserve">Period</t>
  </si>
  <si>
    <t xml:space="preserve">FY22A</t>
  </si>
  <si>
    <t xml:space="preserve">FY23A</t>
  </si>
  <si>
    <t xml:space="preserve">FY24A</t>
  </si>
  <si>
    <t xml:space="preserve">FY25A</t>
  </si>
  <si>
    <t xml:space="preserve">6M25A</t>
  </si>
  <si>
    <t xml:space="preserve">6M26A</t>
  </si>
  <si>
    <t xml:space="preserve">LTM Jun-26</t>
  </si>
  <si>
    <t xml:space="preserve">FY26E</t>
  </si>
  <si>
    <t xml:space="preserve">FY27E</t>
  </si>
  <si>
    <t xml:space="preserve">FY28E</t>
  </si>
  <si>
    <t xml:space="preserve">FY29E</t>
  </si>
  <si>
    <t xml:space="preserve">FY30E</t>
  </si>
  <si>
    <t xml:space="preserve">Source / note</t>
  </si>
  <si>
    <t xml:space="preserve">Period end date</t>
  </si>
  <si>
    <t xml:space="preserve">Weeks in period</t>
  </si>
  <si>
    <t xml:space="preserve">Revenue growth by line (the SaaS transition: SaaS up, maintenance and licences down)</t>
  </si>
  <si>
    <t xml:space="preserve">SaaS revenue growth</t>
  </si>
  <si>
    <t xml:space="preserve">%</t>
  </si>
  <si>
    <t xml:space="preserve">FY23 +23.2%, FY24 +22.1%, FY25 +20.6%, 1H26 +22.5%, 2Q26 +21.7% (22 straight quarters ≥20%, Q2 release 29 Jul 2026). Includes on-premises clients migrating (which shrinks maintenance). Fades to 15% by FY30E as the migration pool shrinks — Judgment.</t>
  </si>
  <si>
    <t xml:space="preserve">Transaction-based fee growth</t>
  </si>
  <si>
    <t xml:space="preserve">FY24 +10.5%, FY25 +15.8% (new state contracts), 1H26 +4.9%, 2Q26 +3.5%. Volume-driven (payments, filings, licences). Judgment: 6% p.a.</t>
  </si>
  <si>
    <t xml:space="preserve">Maintenance revenue growth</t>
  </si>
  <si>
    <t xml:space="preserve">FY24 −0.8%, FY25 −3.8%, 1H26 −4.6%. Management (Investor Day, 9 Jun 2026) expects &gt;85% of maintenance revenue converted to SaaS by 2030, so the decline accelerates — Judgment.</t>
  </si>
  <si>
    <t xml:space="preserve">Professional services growth</t>
  </si>
  <si>
    <t xml:space="preserve">FY24 +5.6%, FY25 −8.1%, 1H26 +1.1% (2Q26 +7.8% incl. For The Record). Implementation work follows bookings; SaaS deals need less on-site work — Judgment.</t>
  </si>
  <si>
    <t xml:space="preserve">Software licences, hardware and other growth</t>
  </si>
  <si>
    <t xml:space="preserve">Licences fell from $59.4M (FY22) to $12.8M (FY25) as new clients buy SaaS; hardware ~$45M. 1H26 +8.4%. Judgment.</t>
  </si>
  <si>
    <t xml:space="preserve">Costs (% of revenue; GAAP, so share-based compensation is inside each line)</t>
  </si>
  <si>
    <t xml:space="preserve">Cost of revenues (incl. amortisation of software and acquired software)</t>
  </si>
  <si>
    <t xml:space="preserve">FY22 57.6%, FY23 55.9%, FY24 56.2%, FY25 53.5%, 1H26 52.1%: SaaS scale and hosting migration to AWS lift gross margin. Management 2030 target: 59–60% non-GAAP gross margin (Investor Day, 9 Jun 2026; excludes SBC and acquired-software amortisation). Judgment: GAAP 53% by FY30E, below the target.</t>
  </si>
  <si>
    <t xml:space="preserve">Sales and marketing</t>
  </si>
  <si>
    <t xml:space="preserve">FY25 6.4%, 1H26 6.2%. Management 2030 ~6% (non-GAAP). Judgment: 6.2%.</t>
  </si>
  <si>
    <t xml:space="preserve">General and administrative</t>
  </si>
  <si>
    <t xml:space="preserve">FY24 14.1%, FY25 13.6%, 1H26 14.1% (incl. lease restructuring and acquisition costs). Most SBC sits here. Management 2030 ~9% non-GAAP. Judgment: −50 bp p.a.</t>
  </si>
  <si>
    <t xml:space="preserve">Research and development</t>
  </si>
  <si>
    <t xml:space="preserve">FY25 8.8% (R&amp;D reclassified as cloud-native development rose), 1H26 9.7%. FY26 guidance $245–250M (29 Jul 2026) ≈ 9.75% of revenue; management 2030 ~10%.</t>
  </si>
  <si>
    <t xml:space="preserve">Amortisation of other intangibles (IS line)</t>
  </si>
  <si>
    <t xml:space="preserve">$M</t>
  </si>
  <si>
    <t xml:space="preserve">FY25 $56.4M; 1H26 $29.7M, 2Q26 $15.5M after For The Record (FY26E = 1H + 2 × Q2). Declines as older acquired intangibles run off — Judgment.</t>
  </si>
  <si>
    <t xml:space="preserve">Amortisation of acquired software (in cost of revenues)</t>
  </si>
  <si>
    <t xml:space="preserve">FY25 $37.4M; 1H26 $17.5M. Judgment: run-off.</t>
  </si>
  <si>
    <t xml:space="preserve">Amortisation of capitalised software development (in cost of revenues)</t>
  </si>
  <si>
    <t xml:space="preserve">FY25 $22.7M; 1H26 $11.2M. Capitalisation has fallen to ~$6M p.a. (guidance), so amortisation falls with the $53.6M balance — Judgment.</t>
  </si>
  <si>
    <t xml:space="preserve">Depreciation and other D&amp;A (residual of CF D&amp;A)</t>
  </si>
  <si>
    <t xml:space="preserve">CF D&amp;A less the three IS amortisation lines: FY25 0.9%, 1H26 1.3%. Judgment: 1.2%.</t>
  </si>
  <si>
    <t xml:space="preserve">Share-based compensation (non-cash, inside the cost lines)</t>
  </si>
  <si>
    <t xml:space="preserve">FY23 5.6%, FY24 5.7%, FY25 6.5%, 1H26 6.4%. Treated as a real cost in UFCF (not added back).</t>
  </si>
  <si>
    <t xml:space="preserve">Effective tax rate on pre-tax income excl. the non-taxable remeasurement gain</t>
  </si>
  <si>
    <t xml:space="preserve">FY24 14.6%, FY25 19.1% (excess SBC tax benefits, R&amp;D credits); 1H26 25.9% ex-gain (23.1% reported) as excess benefits shrank with the share price (10-Q 2Q26 Note 11). Judgment: 23%.</t>
  </si>
  <si>
    <t xml:space="preserve">Interest yield on cash and investments</t>
  </si>
  <si>
    <t xml:space="preserve">Fed funds target 3.75–4.00% after the 16 Sep 2026 hike (FOMC). FY26E applies to 2H on the 30 Jun 2026 balance. Check: FY26 net interest income guidance $19–21M (29 Jul 2026).</t>
  </si>
  <si>
    <t xml:space="preserve">Working capital (deferred revenue is the key line: clients pay annual SaaS and maintenance fees in advance)</t>
  </si>
  <si>
    <t xml:space="preserve">Days sales outstanding (AR incl. long-term ÷ revenue × 365)</t>
  </si>
  <si>
    <t xml:space="preserve">days</t>
  </si>
  <si>
    <t xml:space="preserve">FY22 115.5, FY23 117.6, FY24 101.6, FY25 100.9 (Jun-26 on LTM revenue: 112.5, seasonal billing). Judgment: 100.</t>
  </si>
  <si>
    <t xml:space="preserve">Prepaid expenses and other current assets (% of revenue)</t>
  </si>
  <si>
    <t xml:space="preserve">FY24 3.4%, FY25 3.6%.</t>
  </si>
  <si>
    <t xml:space="preserve">Accounts payable (% of revenue)</t>
  </si>
  <si>
    <t xml:space="preserve">FY23 7.5%, FY24 7.3%, FY25 7.5%.</t>
  </si>
  <si>
    <t xml:space="preserve">Accrued liabilities (% of revenue)</t>
  </si>
  <si>
    <t xml:space="preserve">FY23 8.1%, FY24 9.2%, FY25 8.2%.</t>
  </si>
  <si>
    <t xml:space="preserve">Deferred revenue (current) ÷ (SaaS + maintenance revenue)</t>
  </si>
  <si>
    <t xml:space="preserve">Remarkably stable: FY22 63.4%, FY23 63.6%, FY24 63.3%, FY25 63.8%. Transaction fees are billed as incurred, so they create no deferred revenue. Judgment: 63.5%.</t>
  </si>
  <si>
    <t xml:space="preserve">Capital spending and acquisitions</t>
  </si>
  <si>
    <t xml:space="preserve">Additions to property and equipment (% of revenue)</t>
  </si>
  <si>
    <t xml:space="preserve">FY22–FY24 ~1.0–1.2%, FY25 0.7%, 1H26 0.7%. FY26 guidance: capex $18–20M incl. $6M capitalised software (29 Jul 2026). Judgment: back to 1.0% from FY27E.</t>
  </si>
  <si>
    <t xml:space="preserve">Investment in software development (capitalised)</t>
  </si>
  <si>
    <t xml:space="preserve">FY23 $32.5M, FY25 $16.8M, 1H26 $2.1M; FY26 guidance $6M. Judgment: $6M p.a.</t>
  </si>
  <si>
    <t xml:space="preserve">Acquisitions — cash paid, net of cash acquired</t>
  </si>
  <si>
    <t xml:space="preserve">FY26E = 1H26 actual (For The Record, closed 14 Apr 2026, ~$212.7M). No further deals in the base case — Judgment (Tyler typically spends $50–200M p.a. on tuck-ins; treat M&amp;A as a separate decision).</t>
  </si>
  <si>
    <t xml:space="preserve">Capital returns and share count</t>
  </si>
  <si>
    <t xml:space="preserve">Share repurchases (FY26E = 2H26 only; 1H26 actual $755.0M is in CF)</t>
  </si>
  <si>
    <t xml:space="preserve">2H26: $260M Rule 10b5-1 plan, 16 Sep–29 Oct 2026 (8-K 15 Sep 2026) plus July purchases under the June plan. Remaining authorisation ~$1.745bn at 29 Jul 2026 (Q2 release). FY27E+ ~55–65% of FCF — Judgment.</t>
  </si>
  <si>
    <t xml:space="preserve">Average repurchase price</t>
  </si>
  <si>
    <t xml:space="preserve">$/sh</t>
  </si>
  <si>
    <t xml:space="preserve">1H26: $755.0M for ~2.19M net treasury shares (≈$345). Judgment: current price, then rising at roughly the cost of equity.</t>
  </si>
  <si>
    <t xml:space="preserve">Memo: net shares repurchased (treasury share change)</t>
  </si>
  <si>
    <t xml:space="preserve">M</t>
  </si>
  <si>
    <t xml:space="preserve">1H26 treasury shares 5,027,037 → 7,217,405 (10-Q 2Q26 balance sheet).</t>
  </si>
  <si>
    <t xml:space="preserve">Shares issued to employees (options, RSUs, ESPP), net</t>
  </si>
  <si>
    <t xml:space="preserve">FY25: treasury shares fell 0.16M net of $174.7M of buybacks. Judgment: 0.25M p.a. (0.1M in 2H26).</t>
  </si>
  <si>
    <t xml:space="preserve">Contributions from employee stock purchase plan (full year)</t>
  </si>
  <si>
    <t xml:space="preserve">FY24 $17.6M, FY25 $18.8M, 1H26 $9.2M.</t>
  </si>
  <si>
    <t xml:space="preserve">Option exercises net of tax withheld on vesting (full year)</t>
  </si>
  <si>
    <t xml:space="preserve">1H26 −$22.1M (withholding exceeded exercises at a lower share price); 2H26E +$10M; nil thereafter — Judgment.</t>
  </si>
  <si>
    <t xml:space="preserve">Minimum cash balance</t>
  </si>
  <si>
    <t xml:space="preserve">Judgment. Tyler held $165M–$1,015M of year-end cash FY22–FY25; $1.0bn revolver undrawn.</t>
  </si>
  <si>
    <t xml:space="preserve">Base rate (Term SOFR)</t>
  </si>
  <si>
    <t xml:space="preserve">Judgment anchored on fed funds 3.75–4.00% (FOMC, 16 Sep 2026).</t>
  </si>
  <si>
    <t xml:space="preserve">Revolver margin</t>
  </si>
  <si>
    <t xml:space="preserve">2026 Credit Agreement (8-K 29 May 2026; 10-Q 2Q26 debt note: 1.125%).</t>
  </si>
  <si>
    <t xml:space="preserve">Revolver commitment fee on undrawn amount</t>
  </si>
  <si>
    <t xml:space="preserve">10-K FY25 debt note: 0.125%–0.25% by leverage (2024 agreement); assumed unchanged — Judgment.</t>
  </si>
  <si>
    <t xml:space="preserve">Market data and valuation inputs (single values in column D)</t>
  </si>
  <si>
    <t xml:space="preserve">TYL share price (close)</t>
  </si>
  <si>
    <t xml:space="preserve">Yahoo Finance chart API, close 9 Oct 2026 (NYSE). https://finance.yahoo.com/quote/TYL</t>
  </si>
  <si>
    <t xml:space="preserve">52-week high</t>
  </si>
  <si>
    <t xml:space="preserve">Yahoo Finance, 12 months to 9 Oct 2026.</t>
  </si>
  <si>
    <t xml:space="preserve">52-week low</t>
  </si>
  <si>
    <t xml:space="preserve">Shares outstanding</t>
  </si>
  <si>
    <t xml:space="preserve">10-Q 2Q26 cover: 40,952,274 at 27 Jul 2026. Purchases under the 16 Sep–29 Oct 10b5-1 plan are n.d. until the 3Q26 10-Q (flagged).</t>
  </si>
  <si>
    <t xml:space="preserve">Dilutive securities (options and RSUs, treasury method)</t>
  </si>
  <si>
    <t xml:space="preserve">10-Q 2Q26: diluted 41,853K − basic 41,564K weighted shares (6M26).</t>
  </si>
  <si>
    <t xml:space="preserve">Cash + short-term investments (30 Jun 2026)</t>
  </si>
  <si>
    <t xml:space="preserve">10-Q 2Q26: cash $895.4M + short-term investments $74.7M.</t>
  </si>
  <si>
    <t xml:space="preserve">Debt: 2031 convertible notes at principal (30 Jun 2026); revolver undrawn</t>
  </si>
  <si>
    <t xml:space="preserve">Principal $1,437.5M (carrying $1,408.7M net of $28.8M unamortised costs). Valued at principal: that is what must be repaid in cash.</t>
  </si>
  <si>
    <t xml:space="preserve">Other assets / (claims): non-current investments</t>
  </si>
  <si>
    <t xml:space="preserve">10-Q 2Q26: non-current investments $45.2M (marketable securities), added to equity value. Positive = asset.</t>
  </si>
  <si>
    <t xml:space="preserve">Dividend per share paid between 30 Jun and 9 Oct 2026</t>
  </si>
  <si>
    <t xml:space="preserve">Tyler pays no dividend.</t>
  </si>
  <si>
    <t xml:space="preserve">Risk-free rate: 10-year US Treasury (CMT)</t>
  </si>
  <si>
    <t xml:space="preserve">U.S. Treasury Daily Par Yield Curve, 9 Oct 2026: 10-yr 5.24% (20-yr 5.65%). home.treasury.gov</t>
  </si>
  <si>
    <t xml:space="preserve">Equity risk premium</t>
  </si>
  <si>
    <t xml:space="preserve">Damodaran implied ERP 4.20% on 1 Oct 2026, estimated over the 10-yr Treasury (same pairing used here). Cross-check: Kroll recommended 5.0% (2 Sep 2026) with the 20-yr (5.65%).</t>
  </si>
  <si>
    <t xml:space="preserve">Pre-tax cost of debt (straight-debt equivalent, not the 0.50% coupon)</t>
  </si>
  <si>
    <t xml:space="preserve">Judgment: revolver all-in ~5.0% (SOFR 3.90% + 1.125%) and the 10-yr Treasury 5.24% + ~25–50 bp. The 0.50% coupon is low because noteholders own a conversion option.</t>
  </si>
  <si>
    <t xml:space="preserve">Marginal tax rate (for unlevering betas and tax shield)</t>
  </si>
  <si>
    <t xml:space="preserve">Judgment: 21% federal + ~4% state, net.</t>
  </si>
  <si>
    <t xml:space="preserve">Terminal growth rate</t>
  </si>
  <si>
    <t xml:space="preserve">Your judgment: enter a value and give the rationale (and a dated source, if any) in your memo.</t>
  </si>
  <si>
    <t xml:space="preserve">Exit multiple (EV / EBITDA, terminal year)</t>
  </si>
  <si>
    <t xml:space="preserve">x</t>
  </si>
  <si>
    <t xml:space="preserve">Fed funds target range (context)</t>
  </si>
  <si>
    <t xml:space="preserve">FOMC statement 16 Sep 2026: raised 25 bp to 3.75–4.00% (upper bound shown).</t>
  </si>
  <si>
    <t xml:space="preserve">2031 convertible notes (indenture, 8-K 14 May 2026)</t>
  </si>
  <si>
    <t xml:space="preserve">Coupon</t>
  </si>
  <si>
    <t xml:space="preserve">0.50% p.a., payable semi-annually; matures 15 Jul 2031.</t>
  </si>
  <si>
    <t xml:space="preserve">Initial conversion price</t>
  </si>
  <si>
    <t xml:space="preserve">2.4634 shares per $1,000 principal; 30% premium to $312.27 (11 May 2026). Closing press release, 14 May 2026.</t>
  </si>
  <si>
    <t xml:space="preserve">Capped-call cap price</t>
  </si>
  <si>
    <t xml:space="preserve">Capped calls ($187.2M) offset dilution up to $655.77 (110% premium).</t>
  </si>
  <si>
    <t xml:space="preserve">Shares underlying the notes (if fully converted)</t>
  </si>
  <si>
    <t xml:space="preserve">Principal ÷ conversion price.</t>
  </si>
  <si>
    <t xml:space="preserve">Initial discount and issuance costs allocated to the notes</t>
  </si>
  <si>
    <t xml:space="preserve">Derived: $1,437.5M principal − ~$1,408.1M net proceeds (closing press release). Remaining $2.3M of the $31.7M costs paid relates to the revolver (other assets) — derived, flagged.</t>
  </si>
  <si>
    <t xml:space="preserve">Unamortised discount at 30 Jun 2026</t>
  </si>
  <si>
    <t xml:space="preserve">10-Q 2Q26 debt note.</t>
  </si>
  <si>
    <t xml:space="preserve">Years from 30 Jun 2026 to maturity (15 Jul 2031)</t>
  </si>
  <si>
    <t xml:space="preserve">years</t>
  </si>
  <si>
    <t xml:space="preserve">Discount accreted straight-line (simplification of the effective-interest method).</t>
  </si>
  <si>
    <t xml:space="preserve">Tyler Technologies (TYL) — Revenue, ARR and deferred-revenue build</t>
  </si>
  <si>
    <t xml:space="preserve">($ in millions; each revenue line = prior year × (1 + growth); recurring = SaaS + transaction fees + maintenance)</t>
  </si>
  <si>
    <t xml:space="preserve">Revenue by line (disaggregation note, 10-K / 10-Q)</t>
  </si>
  <si>
    <t xml:space="preserve">SaaS (subscriptions: hosted software)</t>
  </si>
  <si>
    <t xml:space="preserve">Disaggregation note. FY22 from 10-K FY23.</t>
  </si>
  <si>
    <t xml:space="preserve">Transaction-based fees (subscriptions: payments, e-filing, licensing portals)</t>
  </si>
  <si>
    <t xml:space="preserve">FY22 derived: subscriptions $1,012.3M − SaaS $428.5M (both filed, 10-K FY23); other years as filed.</t>
  </si>
  <si>
    <t xml:space="preserve">Maintenance (on-premises software support)</t>
  </si>
  <si>
    <t xml:space="preserve">Professional services (implementation, training)</t>
  </si>
  <si>
    <t xml:space="preserve">Software licences and royalties, hardware and other</t>
  </si>
  <si>
    <t xml:space="preserve">Annual: licences + hardware and other; 10-Q reports one "Other" line.</t>
  </si>
  <si>
    <t xml:space="preserve">Total revenues</t>
  </si>
  <si>
    <t xml:space="preserve">  Growth</t>
  </si>
  <si>
    <t xml:space="preserve">Check: build − IS revenue (filed)</t>
  </si>
  <si>
    <t xml:space="preserve">Recurring revenue and mix</t>
  </si>
  <si>
    <t xml:space="preserve">Recurring revenue (SaaS + transaction fees + maintenance)</t>
  </si>
  <si>
    <t xml:space="preserve">  Recurring growth</t>
  </si>
  <si>
    <t xml:space="preserve">  Recurring share of revenue</t>
  </si>
  <si>
    <t xml:space="preserve">Management 2030 target: &gt;90% (Investor Day, 9 Jun 2026).</t>
  </si>
  <si>
    <t xml:space="preserve">  SaaS share of SaaS + maintenance (migration progress)</t>
  </si>
  <si>
    <t xml:space="preserve">ARR, period end (current-quarter recurring revenue × 4)</t>
  </si>
  <si>
    <t xml:space="preserve">Tyler definition (Q2 release): annualised current-quarter recurring revenue from subscriptions and maintenance. Includes volume-based transaction fees, so it is not contracted. Q4 values use derived Q4 (flagged on Quarterly tab).</t>
  </si>
  <si>
    <t xml:space="preserve">  ARR growth y/y</t>
  </si>
  <si>
    <t xml:space="preserve">Reported: ARR $2.24bn at 2Q26, +8.2% (Q2 release).</t>
  </si>
  <si>
    <t xml:space="preserve">Working capital (period-end)</t>
  </si>
  <si>
    <t xml:space="preserve">DSO (AR incl. long-term ÷ revenue × 365)</t>
  </si>
  <si>
    <t xml:space="preserve">Jun-26 column on LTM revenue.</t>
  </si>
  <si>
    <t xml:space="preserve">Billed-in-advance base: SaaS + maintenance revenue</t>
  </si>
  <si>
    <t xml:space="preserve">Deferred revenue (current) ÷ (SaaS + maintenance)</t>
  </si>
  <si>
    <t xml:space="preserve">Jun-26 on LTM revenue: the ratio dips mid-year because renewals bill heavily in Q4 (deferred revenue builds in December).</t>
  </si>
  <si>
    <t xml:space="preserve">Total deferred revenue (current + long-term)</t>
  </si>
  <si>
    <t xml:space="preserve">Change in total deferred revenue (cash inflow)</t>
  </si>
  <si>
    <t xml:space="preserve">Close to the CF-statement line (FY25 filed +$70.3M vs BS change +$78.0M; the gap is deferred revenue acquired with businesses).</t>
  </si>
  <si>
    <t xml:space="preserve">Memo: share of deferred revenue recognised within 12 months</t>
  </si>
  <si>
    <t xml:space="preserve">10-K FY25 / 10-Q 2Q26 Note: 97% / 98%. Tyler does not disclose total RPO beyond deferred revenue (says it is "not a meaningful indicator" because of transaction fees and termination clauses): n.d.</t>
  </si>
  <si>
    <t xml:space="preserve">Tyler Technologies (TYL) — Income statement</t>
  </si>
  <si>
    <t xml:space="preserve">($ in millions except per share; calendar fiscal years; costs stored positive and subtracted)</t>
  </si>
  <si>
    <t xml:space="preserve">10-K FY25 (filed 18 Feb 2026), FY24 (19 Feb 2025), FY23 (21 Feb 2024); 10-Q 2Q26 (filed 29 Jul 2026), 10-Q 2Q25 (30 Jul 2025)</t>
  </si>
  <si>
    <t xml:space="preserve">Cost of revenues</t>
  </si>
  <si>
    <t xml:space="preserve">Includes amortisation of software development and of acquired software (memo below) and SBC.</t>
  </si>
  <si>
    <t xml:space="preserve">Gross profit</t>
  </si>
  <si>
    <t xml:space="preserve">  Gross margin</t>
  </si>
  <si>
    <t xml:space="preserve">Sales and marketing expense</t>
  </si>
  <si>
    <t xml:space="preserve">General and administrative expense</t>
  </si>
  <si>
    <t xml:space="preserve">Research and development expense</t>
  </si>
  <si>
    <t xml:space="preserve">Amortisation of other intangibles</t>
  </si>
  <si>
    <t xml:space="preserve">Operating income (EBIT)</t>
  </si>
  <si>
    <t xml:space="preserve">  Operating margin</t>
  </si>
  <si>
    <t xml:space="preserve">Interest expense</t>
  </si>
  <si>
    <t xml:space="preserve">Stored positive. FY22–FY24 term loans; 0.25% 2026 notes (repaid 16 Mar 2026); 0.50% 2031 notes from 14 May 2026. Includes accretion of the notes' discount.</t>
  </si>
  <si>
    <t xml:space="preserve">Gain on remeasurement of equity investment (non-recurring, non-taxable)</t>
  </si>
  <si>
    <t xml:space="preserve">2Q26: Tyler's prior minority stake in For The Record remeasured to fair value on acquiring control (10-Q 2Q26). FY26E = 1H actual; nil thereafter.</t>
  </si>
  <si>
    <t xml:space="preserve">Other income, net (mainly interest income)</t>
  </si>
  <si>
    <t xml:space="preserve">Income before income taxes</t>
  </si>
  <si>
    <t xml:space="preserve">Income tax provision</t>
  </si>
  <si>
    <t xml:space="preserve">Net income</t>
  </si>
  <si>
    <t xml:space="preserve">  Net margin</t>
  </si>
  <si>
    <t xml:space="preserve">Per share</t>
  </si>
  <si>
    <t xml:space="preserve">Shares outstanding, period end (issued 48.148M − treasury)</t>
  </si>
  <si>
    <t xml:space="preserve">Balance-sheet parentheticals (48,147,969 issued less treasury shares). Forecast: − repurchased + issued.</t>
  </si>
  <si>
    <t xml:space="preserve">Weighted average basic shares</t>
  </si>
  <si>
    <t xml:space="preserve">EPS note.</t>
  </si>
  <si>
    <t xml:space="preserve">Weighted average diluted shares</t>
  </si>
  <si>
    <t xml:space="preserve">EPS note. FY26E = average of 1H26 actual and the 2H average share count + dilution. The 2031 notes add no shares below the $405.94 conversion price (net share settlement assumed), and the capped call offsets dilution up to $655.77.</t>
  </si>
  <si>
    <t xml:space="preserve">Diluted EPS</t>
  </si>
  <si>
    <t xml:space="preserve">Computed; reconciled to reported below. LTM = sum of periods.</t>
  </si>
  <si>
    <t xml:space="preserve">Diluted EPS excl. remeasurement gain</t>
  </si>
  <si>
    <t xml:space="preserve">The gain is non-taxable, so the full $25.0M comes out of net income.</t>
  </si>
  <si>
    <t xml:space="preserve">Non-GAAP and memo</t>
  </si>
  <si>
    <t xml:space="preserve">Memo: amortisation of acquired software (in cost of revenues)</t>
  </si>
  <si>
    <t xml:space="preserve">Memo: amortisation of software development (in cost of revenues)</t>
  </si>
  <si>
    <t xml:space="preserve">Memo: depreciation and other D&amp;A (residual)</t>
  </si>
  <si>
    <t xml:space="preserve">Depreciation and amortisation (CF statement)</t>
  </si>
  <si>
    <t xml:space="preserve">CF line (broader than Tyler's EBITDA reconciliation, which uses IS amortisation + D&amp;A in operating lines; 6M26: $74.8M vs $68.7M).</t>
  </si>
  <si>
    <t xml:space="preserve">EBITDA (operating income + D&amp;A), unadjusted</t>
  </si>
  <si>
    <t xml:space="preserve">GAAP basis, after SBC. Same definition for peers. Tyler's "adjusted EBITDA" ($353.8M in 1H26) also adds back SBC and other items.</t>
  </si>
  <si>
    <t xml:space="preserve">  EBITDA margin</t>
  </si>
  <si>
    <t xml:space="preserve">Memo: share-based compensation</t>
  </si>
  <si>
    <t xml:space="preserve">Memo: EBITDA + SBC (approximates management's adjusted EBITDA)</t>
  </si>
  <si>
    <t xml:space="preserve">Excludes acquisition, payroll-tax and restructuring add-backs (1H26: $9.4M), so it sits slightly below the company figure.</t>
  </si>
  <si>
    <t xml:space="preserve">Reconciliation to filed totals (Model / Reported / Delta; pass if |Δ| ≤ $0.5M or $0.005/sh)</t>
  </si>
  <si>
    <t xml:space="preserve">Reported: Gross profit</t>
  </si>
  <si>
    <t xml:space="preserve">  Delta (model − reported)</t>
  </si>
  <si>
    <t xml:space="preserve">Reported: Operating income</t>
  </si>
  <si>
    <t xml:space="preserve">Reported: Income before income taxes</t>
  </si>
  <si>
    <t xml:space="preserve">Reported: Net income</t>
  </si>
  <si>
    <t xml:space="preserve">Reported: diluted EPS</t>
  </si>
  <si>
    <t xml:space="preserve">Tyler Technologies (TYL) — Balance sheet</t>
  </si>
  <si>
    <t xml:space="preserve">($ in millions; period-end. Jun-25 shown for seasonality: receivables peak mid-year, deferred revenue at year end.)</t>
  </si>
  <si>
    <t xml:space="preserve">Assets</t>
  </si>
  <si>
    <t xml:space="preserve">Cash and cash equivalents</t>
  </si>
  <si>
    <t xml:space="preserve">10-K FY25 (filed 18 Feb 2026), FY24 (19 Feb 2025), FY23 (21 Feb 2024); 10-Q 2Q26 (filed 29 Jul 2026), 10-Q 2Q25 (30 Jul 2025). Forecast: ending cash from the CF statement.</t>
  </si>
  <si>
    <t xml:space="preserve">Short-term investments</t>
  </si>
  <si>
    <t xml:space="preserve">Forecast: held at the 30 Jun 2026 level — Judgment.</t>
  </si>
  <si>
    <t xml:space="preserve">Accounts receivable, net</t>
  </si>
  <si>
    <t xml:space="preserve">Prepaid expenses</t>
  </si>
  <si>
    <t xml:space="preserve">Income tax receivable</t>
  </si>
  <si>
    <t xml:space="preserve">Shown within other current assets before FY24 (nil here).</t>
  </si>
  <si>
    <t xml:space="preserve">Other current assets</t>
  </si>
  <si>
    <t xml:space="preserve">Total current assets</t>
  </si>
  <si>
    <t xml:space="preserve">Accounts receivable, long-term</t>
  </si>
  <si>
    <t xml:space="preserve">Operating lease right-of-use assets</t>
  </si>
  <si>
    <t xml:space="preserve">Held flat with the lease liabilities.</t>
  </si>
  <si>
    <t xml:space="preserve">Property and equipment, net</t>
  </si>
  <si>
    <t xml:space="preserve">Roll-forward: + PP&amp;E additions − depreciation and other D&amp;A.</t>
  </si>
  <si>
    <t xml:space="preserve">Software development costs, net</t>
  </si>
  <si>
    <t xml:space="preserve">Goodwill</t>
  </si>
  <si>
    <t xml:space="preserve">Forecast simplification: all FY26E acquisition consideration (cash + the remeasured prior stake) to goodwill; acquired intangibles not split out (flagged).</t>
  </si>
  <si>
    <t xml:space="preserve">Other intangibles, net (incl. acquired software)</t>
  </si>
  <si>
    <t xml:space="preserve">Non-current investments</t>
  </si>
  <si>
    <t xml:space="preserve">Other non-current assets</t>
  </si>
  <si>
    <t xml:space="preserve">FY26E: + revolver arrangement costs ($31.7M paid − $29.4M allocated to the notes).</t>
  </si>
  <si>
    <t xml:space="preserve">Total assets</t>
  </si>
  <si>
    <t xml:space="preserve">Liabilities</t>
  </si>
  <si>
    <t xml:space="preserve">Accounts payable</t>
  </si>
  <si>
    <t xml:space="preserve">Accrued liabilities</t>
  </si>
  <si>
    <t xml:space="preserve">Operating lease liabilities (current)</t>
  </si>
  <si>
    <t xml:space="preserve">Current income tax payable</t>
  </si>
  <si>
    <t xml:space="preserve">Deferred revenue (current)</t>
  </si>
  <si>
    <t xml:space="preserve">Total current liabilities excl. debt</t>
  </si>
  <si>
    <t xml:space="preserve">Filed current liabilities also include current debt (term loans FY22–FY23; 2026 notes at FY25 and Jun-25), shown in the debt lines below.</t>
  </si>
  <si>
    <t xml:space="preserve">Term loans (current + long-term)</t>
  </si>
  <si>
    <t xml:space="preserve">Repaid in full by FY24.</t>
  </si>
  <si>
    <t xml:space="preserve">0.25% convertible notes due 2026, net (current + long-term)</t>
  </si>
  <si>
    <t xml:space="preserve">$600M principal; repaid 16 Mar 2026.</t>
  </si>
  <si>
    <t xml:space="preserve">0.50% convertible notes due 2031, net</t>
  </si>
  <si>
    <t xml:space="preserve">Revolving credit facility</t>
  </si>
  <si>
    <t xml:space="preserve">Deferred revenue, long-term</t>
  </si>
  <si>
    <t xml:space="preserve">Deferred income taxes</t>
  </si>
  <si>
    <t xml:space="preserve">Held flat (no deferred-tax forecast).</t>
  </si>
  <si>
    <t xml:space="preserve">Operating lease liabilities, long-term</t>
  </si>
  <si>
    <t xml:space="preserve">Other long-term liabilities</t>
  </si>
  <si>
    <t xml:space="preserve">Total liabilities</t>
  </si>
  <si>
    <t xml:space="preserve">Shareholders' equity</t>
  </si>
  <si>
    <t xml:space="preserve">Common stock (par)</t>
  </si>
  <si>
    <t xml:space="preserve">Additional paid-in capital</t>
  </si>
  <si>
    <t xml:space="preserve">Roll-forward: + SBC − capped call (charged to equity) + employee plans.</t>
  </si>
  <si>
    <t xml:space="preserve">Accumulated other comprehensive loss</t>
  </si>
  <si>
    <t xml:space="preserve">Retained earnings</t>
  </si>
  <si>
    <t xml:space="preserve">No dividends.</t>
  </si>
  <si>
    <t xml:space="preserve">Treasury stock, at cost</t>
  </si>
  <si>
    <t xml:space="preserve">Total shareholders' equity</t>
  </si>
  <si>
    <t xml:space="preserve">Total liabilities and shareholders' equity</t>
  </si>
  <si>
    <t xml:space="preserve">Balance check: assets − (liabilities + equity)</t>
  </si>
  <si>
    <t xml:space="preserve">Must be 0.00 in every column.</t>
  </si>
  <si>
    <t xml:space="preserve">Memo</t>
  </si>
  <si>
    <t xml:space="preserve">Cash + short- and long-term investments</t>
  </si>
  <si>
    <t xml:space="preserve">Debt, carrying value (term loans + notes + revolver)</t>
  </si>
  <si>
    <t xml:space="preserve">Net cash / (net debt), carrying value</t>
  </si>
  <si>
    <t xml:space="preserve">Reconciliation to filed totals</t>
  </si>
  <si>
    <t xml:space="preserve">Reported: Total assets</t>
  </si>
  <si>
    <t xml:space="preserve">Reported: Total liabilities</t>
  </si>
  <si>
    <t xml:space="preserve">Reported: Total shareholders' equity</t>
  </si>
  <si>
    <t xml:space="preserve">Tyler Technologies (TYL) — Cash flow statement</t>
  </si>
  <si>
    <t xml:space="preserve">($ in millions; as filed: inflows positive, outflows negative. Forecast lines derived from balance-sheet movements.)</t>
  </si>
  <si>
    <t xml:space="preserve">Operating activities</t>
  </si>
  <si>
    <t xml:space="preserve">Depreciation and amortization</t>
  </si>
  <si>
    <t xml:space="preserve">Share-based compensation expense</t>
  </si>
  <si>
    <t xml:space="preserve">Deferred income tax provision (benefit)</t>
  </si>
  <si>
    <t xml:space="preserve">Gain on remeasurement of equity investment</t>
  </si>
  <si>
    <t xml:space="preserve">Non-cash interest: accretion of convertible-note discount</t>
  </si>
  <si>
    <t xml:space="preserve">History: inside D&amp;A and "other" as filed (n/a as a separate line). Forecast: shown separately so cash interest = expense − accretion.</t>
  </si>
  <si>
    <t xml:space="preserve">Other non-cash: AR provision, ROU amortisation, investment gains, other</t>
  </si>
  <si>
    <t xml:space="preserve">Sum of filed lines (provision for losses, amortisation of ROU assets, gains on investments, other). Forecast nil: leases held flat.</t>
  </si>
  <si>
    <t xml:space="preserve">Accounts receivable</t>
  </si>
  <si>
    <t xml:space="preserve">Income tax payable / receivable</t>
  </si>
  <si>
    <t xml:space="preserve">Prepaid expenses and other current assets</t>
  </si>
  <si>
    <t xml:space="preserve">Operating lease liabilities</t>
  </si>
  <si>
    <t xml:space="preserve">Forecast: lease liabilities net of ROU assets (both flat, so nil).</t>
  </si>
  <si>
    <t xml:space="preserve">Deferred revenue</t>
  </si>
  <si>
    <t xml:space="preserve">The SaaS cash engine: clients prepay annual fees.</t>
  </si>
  <si>
    <t xml:space="preserve">Net cash provided by operating activities</t>
  </si>
  <si>
    <t xml:space="preserve">Memo: working capital and other operating items (used in UFCF)</t>
  </si>
  <si>
    <t xml:space="preserve">Other non-cash through other long-term liabilities. Excludes SBC (treated as a real cost), deferred taxes and non-cash interest.</t>
  </si>
  <si>
    <t xml:space="preserve">Investing activities</t>
  </si>
  <si>
    <t xml:space="preserve">Capital expenditures: PP&amp;E additions + investment in software development</t>
  </si>
  <si>
    <t xml:space="preserve">Two filed lines combined (detail below); Tyler's free cash flow deducts both.</t>
  </si>
  <si>
    <t xml:space="preserve">  of which: additions to property and equipment</t>
  </si>
  <si>
    <t xml:space="preserve">  of which: investment in software development</t>
  </si>
  <si>
    <t xml:space="preserve">Cost of acquisitions, net of cash acquired</t>
  </si>
  <si>
    <t xml:space="preserve">Marketable securities: purchases net of proceeds and maturities</t>
  </si>
  <si>
    <t xml:space="preserve">Two filed lines netted.</t>
  </si>
  <si>
    <t xml:space="preserve">Other investing</t>
  </si>
  <si>
    <t xml:space="preserve">Net cash used by investing activities</t>
  </si>
  <si>
    <t xml:space="preserve">Financing activities</t>
  </si>
  <si>
    <t xml:space="preserve">Repayment of term loans and convertible notes</t>
  </si>
  <si>
    <t xml:space="preserve">Proceeds from issuance of convertible senior notes due 2031</t>
  </si>
  <si>
    <t xml:space="preserve">Purchase of capped call transactions</t>
  </si>
  <si>
    <t xml:space="preserve">Payment of debt issuance costs</t>
  </si>
  <si>
    <t xml:space="preserve">Purchase of treasury shares</t>
  </si>
  <si>
    <t xml:space="preserve">FY25 filed as a negative (−$174.65M) in the 10-K cash flow statement. FY26E = 1H26 actual + 2H26 assumption.</t>
  </si>
  <si>
    <t xml:space="preserve">Option exercises, net of shares withheld for taxes</t>
  </si>
  <si>
    <t xml:space="preserve">Contributions from employee stock purchase plan</t>
  </si>
  <si>
    <t xml:space="preserve">Other financing</t>
  </si>
  <si>
    <t xml:space="preserve">Revolver draws / (repayments)</t>
  </si>
  <si>
    <t xml:space="preserve">Net cash provided by (used by) financing activities</t>
  </si>
  <si>
    <t xml:space="preserve">Cash</t>
  </si>
  <si>
    <t xml:space="preserve">Net change in cash</t>
  </si>
  <si>
    <t xml:space="preserve">Cash — beginning of period</t>
  </si>
  <si>
    <t xml:space="preserve">LTM opening cash = 30 Jun 2025 balance $787.4M (10-Q 2Q25).</t>
  </si>
  <si>
    <t xml:space="preserve">Cash — end of period</t>
  </si>
  <si>
    <t xml:space="preserve">Memo: cash before revolver draw/(repayment)</t>
  </si>
  <si>
    <t xml:space="preserve">Memo: free cash flow, company definition (CFO − PP&amp;E − software development)</t>
  </si>
  <si>
    <t xml:space="preserve">Reconciles to Tyler's release (6M26 $221.3M).</t>
  </si>
  <si>
    <t xml:space="preserve">  FCF margin</t>
  </si>
  <si>
    <t xml:space="preserve">FY26 guidance 26–28% (29 Jul 2026); management 2030 target low-30s% (Investor Day).</t>
  </si>
  <si>
    <t xml:space="preserve">Memo: FCF after SBC (FCF − SBC)</t>
  </si>
  <si>
    <t xml:space="preserve">SBC is a real cost to shareholders: Tyler spends cash on buybacks partly to offset the dilution.</t>
  </si>
  <si>
    <t xml:space="preserve">Reported: Net cash from operating activities</t>
  </si>
  <si>
    <t xml:space="preserve">Reported: Net cash from investing activities</t>
  </si>
  <si>
    <t xml:space="preserve">Reported: Net cash from financing activities</t>
  </si>
  <si>
    <t xml:space="preserve">Reported: Cash — end of period</t>
  </si>
  <si>
    <t xml:space="preserve">Tyler Technologies (TYL) — Debt, convertible notes and interest</t>
  </si>
  <si>
    <t xml:space="preserve">($ in millions. Interest on opening balances, so the model has no circular reference.)</t>
  </si>
  <si>
    <t xml:space="preserve">0.25% convertible senior notes due 2026 ($600M; conversion price $493.44) — repaid in cash 16 Mar 2026</t>
  </si>
  <si>
    <t xml:space="preserve">Opening carrying value</t>
  </si>
  <si>
    <t xml:space="preserve">Accretion of discount (non-cash interest)</t>
  </si>
  <si>
    <t xml:space="preserve">Accretes to the $600M principal before repayment.</t>
  </si>
  <si>
    <t xml:space="preserve">Repayment of principal</t>
  </si>
  <si>
    <t xml:space="preserve">10-Q 2Q26 cash flow statement.</t>
  </si>
  <si>
    <t xml:space="preserve">Closing carrying value</t>
  </si>
  <si>
    <t xml:space="preserve">0.50% convertible senior notes due 15 Jul 2031 ($1,437.5M; conversion $405.94; capped call to $655.77)</t>
  </si>
  <si>
    <t xml:space="preserve">Principal issued (14 May 2026)</t>
  </si>
  <si>
    <t xml:space="preserve">8-K 14 May 2026 (upsized; initial purchasers' option exercised in full).</t>
  </si>
  <si>
    <t xml:space="preserve">Initial discount and issuance costs</t>
  </si>
  <si>
    <t xml:space="preserve">FY26E = 1H26 actual (implied by the 30 Jun carrying value) + 2H straight-line.</t>
  </si>
  <si>
    <t xml:space="preserve">Principal outstanding, period end</t>
  </si>
  <si>
    <t xml:space="preserve">Cash coupon (0.50% on principal)</t>
  </si>
  <si>
    <t xml:space="preserve">FY26E: 2H only (1H coupon accrual is in the 1H26 actual).</t>
  </si>
  <si>
    <t xml:space="preserve">Total non-cash accretion (2026 + 2031 notes)</t>
  </si>
  <si>
    <t xml:space="preserve">Revolving credit facility — $1.0bn unsecured, matures 28 May 2031 (2026 Credit Agreement); undrawn</t>
  </si>
  <si>
    <t xml:space="preserve">Commitment</t>
  </si>
  <si>
    <t xml:space="preserve">Replaced the $700M 2024 facility on 28 May 2026 (8-K 29 May 2026).</t>
  </si>
  <si>
    <t xml:space="preserve">Opening balance</t>
  </si>
  <si>
    <t xml:space="preserve">Draw / (repayment)</t>
  </si>
  <si>
    <t xml:space="preserve">Draw to hold the minimum cash balance; repay with excess cash (sweep).</t>
  </si>
  <si>
    <t xml:space="preserve">Closing balance</t>
  </si>
  <si>
    <t xml:space="preserve">Availability (commitment − drawn)</t>
  </si>
  <si>
    <t xml:space="preserve">All-in drawn rate (base + margin)</t>
  </si>
  <si>
    <t xml:space="preserve">Commitment fee on undrawn amount</t>
  </si>
  <si>
    <t xml:space="preserve">FY26E: 2H only.</t>
  </si>
  <si>
    <t xml:space="preserve">Revolver interest (on opening balance)</t>
  </si>
  <si>
    <t xml:space="preserve">Total interest expense (to IS)</t>
  </si>
  <si>
    <t xml:space="preserve">FY26E = 1H26 actual ($4.0M) + 2H coupon, accretion and fees.</t>
  </si>
  <si>
    <t xml:space="preserve">Interest income</t>
  </si>
  <si>
    <t xml:space="preserve">Opening cash + short- and long-term investments</t>
  </si>
  <si>
    <t xml:space="preserve">FY26E: 30 Jun 2026 balance (2H only).</t>
  </si>
  <si>
    <t xml:space="preserve">Interest and other income (to IS)</t>
  </si>
  <si>
    <t xml:space="preserve">FY26E = 1H26 actual + 2H.</t>
  </si>
  <si>
    <t xml:space="preserve">Memo: net interest income (income − expense)</t>
  </si>
  <si>
    <t xml:space="preserve">FY26 guidance: net interest income $19–21M (29 Jul 2026).</t>
  </si>
  <si>
    <t xml:space="preserve">Credit statistics and conversion analysis</t>
  </si>
  <si>
    <t xml:space="preserve">Debt (principal) / EBITDA</t>
  </si>
  <si>
    <t xml:space="preserve">Jun-26 on LTM EBITDA.</t>
  </si>
  <si>
    <t xml:space="preserve">Net debt (principal − cash and investments) / EBITDA</t>
  </si>
  <si>
    <t xml:space="preserve">Negative = net cash.</t>
  </si>
  <si>
    <t xml:space="preserve">Net shares issued on conversion at the case price, before capped call</t>
  </si>
  <si>
    <t xml:space="preserve">Net share settlement: principal in cash, excess value in shares. Zero while the price is below $405.94; the capped call offsets this up to $655.77.</t>
  </si>
  <si>
    <t xml:space="preserve">Tyler Technologies (TYL) — Discounted cash flow (unlevered, mid-period)</t>
  </si>
  <si>
    <t xml:space="preserve">($ in millions except per share; valuation date 09 Oct 2026; balance sheet as of 30 Jun 2026)</t>
  </si>
  <si>
    <t xml:space="preserve">1H26A</t>
  </si>
  <si>
    <t xml:space="preserve">Unlevered free cash flow</t>
  </si>
  <si>
    <t xml:space="preserve">Revenue</t>
  </si>
  <si>
    <t xml:space="preserve">  Revenue growth</t>
  </si>
  <si>
    <t xml:space="preserve">EBITDA</t>
  </si>
  <si>
    <t xml:space="preserve">EBIT (income from operations)</t>
  </si>
  <si>
    <t xml:space="preserve">(−) Taxes on EBIT at forecast effective rate</t>
  </si>
  <si>
    <t xml:space="preserve">Unlevered tax at the forecast effective rate (23%). FY25A/1H26A columns use the FY26E rate. The remeasurement gain is below EBIT and excluded.</t>
  </si>
  <si>
    <t xml:space="preserve">NOPAT</t>
  </si>
  <si>
    <t xml:space="preserve">(+) Depreciation &amp; amortization</t>
  </si>
  <si>
    <t xml:space="preserve">(−) Capital expenditures</t>
  </si>
  <si>
    <t xml:space="preserve">CF statement sign (outflow negative), linked as filed.</t>
  </si>
  <si>
    <t xml:space="preserve">(−) Acquisitions / other investing in UFCF</t>
  </si>
  <si>
    <t xml:space="preserve">FY26E includes the For The Record purchase (1H26 actual, $214.3M) because the stub starts 30 Jun: the 2H stub is unaffected. No further acquisitions.</t>
  </si>
  <si>
    <t xml:space="preserve">(−)/+ Change in operating working capital &amp; other operating items</t>
  </si>
  <si>
    <t xml:space="preserve">Sum of CF-statement working-capital lines (as filed sign).</t>
  </si>
  <si>
    <t xml:space="preserve">Unlevered free cash flow (UFCF)</t>
  </si>
  <si>
    <t xml:space="preserve">  UFCF margin</t>
  </si>
  <si>
    <t xml:space="preserve">Discounting (mid-period convention; first period = stub from balance-sheet date to fiscal year end)</t>
  </si>
  <si>
    <t xml:space="preserve">UFCF in discount period</t>
  </si>
  <si>
    <t xml:space="preserve">FY26E stub = FY26E UFCF − 1H26A UFCF (second-half cash flow after the 30 Jun 2026 balance sheet).</t>
  </si>
  <si>
    <t xml:space="preserve">Revenue in discount period</t>
  </si>
  <si>
    <t xml:space="preserve">Used by the operating-driver sensitivity.</t>
  </si>
  <si>
    <t xml:space="preserve">Period start</t>
  </si>
  <si>
    <t xml:space="preserve">date</t>
  </si>
  <si>
    <t xml:space="preserve">Period end</t>
  </si>
  <si>
    <t xml:space="preserve">Mid-period discount time from balance-sheet date</t>
  </si>
  <si>
    <t xml:space="preserve">Discount factor at WACC</t>
  </si>
  <si>
    <t xml:space="preserve">PV of UFCF</t>
  </si>
  <si>
    <t xml:space="preserve">Weeks normalisation (52 ÷ weeks in year)</t>
  </si>
  <si>
    <t xml:space="preserve">Calendar fiscal years (no 53-week years): factor = 1.000 except as noted.</t>
  </si>
  <si>
    <t xml:space="preserve">Forecast year index (for growth sensitivity)</t>
  </si>
  <si>
    <t xml:space="preserve">index</t>
  </si>
  <si>
    <t xml:space="preserve">Tax rate applied</t>
  </si>
  <si>
    <t xml:space="preserve">WACC build (CAPM)</t>
  </si>
  <si>
    <t xml:space="preserve">Link to Inputs (U.S. Treasury, 9 Oct 2026).</t>
  </si>
  <si>
    <t xml:space="preserve">Link to Inputs (Damodaran implied ERP, 1 Oct 2026).</t>
  </si>
  <si>
    <t xml:space="preserve">Unlevered beta: peer median</t>
  </si>
  <si>
    <t xml:space="preserve">Comps tab: median of peer Blume-adjusted betas, unlevered at each peer's market D/E.</t>
  </si>
  <si>
    <t xml:space="preserve">Target debt / equity (market)</t>
  </si>
  <si>
    <t xml:space="preserve">Current market capital structure (operating leases excluded, consistent with EBITDA after rent).</t>
  </si>
  <si>
    <t xml:space="preserve">Relevered beta</t>
  </si>
  <si>
    <t xml:space="preserve">Hamada: βL = βU × (1 + (1 − t) × D/E).</t>
  </si>
  <si>
    <t xml:space="preserve">Cost of equity</t>
  </si>
  <si>
    <t xml:space="preserve">CAPM.</t>
  </si>
  <si>
    <t xml:space="preserve">Pre-tax cost of debt</t>
  </si>
  <si>
    <t xml:space="preserve">Link to Inputs.</t>
  </si>
  <si>
    <t xml:space="preserve">After-tax cost of debt</t>
  </si>
  <si>
    <t xml:space="preserve">Equity market value</t>
  </si>
  <si>
    <t xml:space="preserve">Price × diluted shares.</t>
  </si>
  <si>
    <t xml:space="preserve">Debt (incl. finance leases)</t>
  </si>
  <si>
    <t xml:space="preserve">Link to Inputs (latest balance sheet).</t>
  </si>
  <si>
    <t xml:space="preserve">Equity weight</t>
  </si>
  <si>
    <t xml:space="preserve">WACC</t>
  </si>
  <si>
    <t xml:space="preserve">Base-case discount rate.</t>
  </si>
  <si>
    <t xml:space="preserve">Terminal value</t>
  </si>
  <si>
    <t xml:space="preserve">Terminal growth rate (Gordon)</t>
  </si>
  <si>
    <t xml:space="preserve">Exit multiple (EV / terminal-year EBITDA)</t>
  </si>
  <si>
    <t xml:space="preserve">Terminal-year UFCF, 52-week normalised</t>
  </si>
  <si>
    <t xml:space="preserve">Terminal-year EBITDA, 52-week normalised</t>
  </si>
  <si>
    <t xml:space="preserve">Discount time to end of terminal year</t>
  </si>
  <si>
    <t xml:space="preserve">TV — Gordon growth: UFCF × (1 + g) ÷ (WACC − g)</t>
  </si>
  <si>
    <t xml:space="preserve">TV — exit multiple: EBITDA × multiple</t>
  </si>
  <si>
    <t xml:space="preserve">PV of TV — Gordon</t>
  </si>
  <si>
    <t xml:space="preserve">PV of TV — exit multiple</t>
  </si>
  <si>
    <t xml:space="preserve">Sum of PV of discrete UFCF</t>
  </si>
  <si>
    <t xml:space="preserve">Enterprise value — Gordon</t>
  </si>
  <si>
    <t xml:space="preserve">Enterprise value — exit multiple</t>
  </si>
  <si>
    <t xml:space="preserve">  TV as % of EV — Gordon</t>
  </si>
  <si>
    <t xml:space="preserve">  TV as % of EV — exit</t>
  </si>
  <si>
    <t xml:space="preserve">  Implied exit multiple from Gordon TV</t>
  </si>
  <si>
    <t xml:space="preserve">Cross-check: should sit near the peer range.</t>
  </si>
  <si>
    <t xml:space="preserve">  Implied perpetual growth from exit-multiple TV</t>
  </si>
  <si>
    <t xml:space="preserve">Cross-check: should sit near long-run nominal GDP.</t>
  </si>
  <si>
    <t xml:space="preserve">Enterprise value to equity value (balance sheet as of 30 Jun 2026)</t>
  </si>
  <si>
    <t xml:space="preserve">Balance-sheet (valuation-anchor) date</t>
  </si>
  <si>
    <t xml:space="preserve">Latest 10-Q balance sheet.</t>
  </si>
  <si>
    <t xml:space="preserve">(+) Cash and cash equivalents</t>
  </si>
  <si>
    <t xml:space="preserve">(−) Debt (incl. finance leases)</t>
  </si>
  <si>
    <t xml:space="preserve">(−) Other claims / (+) other assets (see note)</t>
  </si>
  <si>
    <t xml:space="preserve">Non-current investments ($45.2M, marketable securities) added. No NCI, no preferred.</t>
  </si>
  <si>
    <t xml:space="preserve">Parent share of consolidated equity value (1 − NCI share)</t>
  </si>
  <si>
    <t xml:space="preserve">No market-valued NCI deduction: NCI is deducted at book value in the line above.</t>
  </si>
  <si>
    <t xml:space="preserve">Diluted shares</t>
  </si>
  <si>
    <t xml:space="preserve">Basic shares (latest 10-Q cover) + dilutive securities (treasury method, latest quarter).</t>
  </si>
  <si>
    <t xml:space="preserve">Equity value — Gordon</t>
  </si>
  <si>
    <t xml:space="preserve">Equity value — exit multiple</t>
  </si>
  <si>
    <t xml:space="preserve">Value per share at balance-sheet date — Gordon</t>
  </si>
  <si>
    <t xml:space="preserve">Value per share at balance-sheet date — exit</t>
  </si>
  <si>
    <t xml:space="preserve">Valuation date (last close used)</t>
  </si>
  <si>
    <t xml:space="preserve">Price date on Inputs.</t>
  </si>
  <si>
    <t xml:space="preserve">Roll-forward factor to valuation date at cost of equity</t>
  </si>
  <si>
    <t xml:space="preserve">Equity value grows at Ke between the balance-sheet date and the valuation date.</t>
  </si>
  <si>
    <t xml:space="preserve">(−) Dividends per share paid in between</t>
  </si>
  <si>
    <t xml:space="preserve">Implied value per share — Gordon</t>
  </si>
  <si>
    <t xml:space="preserve">Implied value per share — exit multiple</t>
  </si>
  <si>
    <t xml:space="preserve">Implied value per share — midpoint of the two methods</t>
  </si>
  <si>
    <t xml:space="preserve">Headline DCF value.</t>
  </si>
  <si>
    <t xml:space="preserve">Current share price</t>
  </si>
  <si>
    <t xml:space="preserve">Upside / (downside) to midpoint</t>
  </si>
  <si>
    <t xml:space="preserve">Tyler Technologies (TYL) — Trading comparables</t>
  </si>
  <si>
    <t xml:space="preserve">($ in millions except per share; prices as of close 09 Oct 2026; LTM = last fiscal year + latest YTD − prior-year YTD, from each company's SEC XBRL filings)</t>
  </si>
  <si>
    <t xml:space="preserve">Ticker</t>
  </si>
  <si>
    <t xml:space="preserve">Company</t>
  </si>
  <si>
    <t xml:space="preserve">LTM period end</t>
  </si>
  <si>
    <t xml:space="preserve">Price ($)</t>
  </si>
  <si>
    <t xml:space="preserve">Diluted shares (M)</t>
  </si>
  <si>
    <t xml:space="preserve">Equity value</t>
  </si>
  <si>
    <t xml:space="preserve">Debt incl. fin. leases</t>
  </si>
  <si>
    <t xml:space="preserve">Other claims</t>
  </si>
  <si>
    <t xml:space="preserve">Enterprise value</t>
  </si>
  <si>
    <t xml:space="preserve">LTM revenue</t>
  </si>
  <si>
    <t xml:space="preserve">LTM EBITDA</t>
  </si>
  <si>
    <t xml:space="preserve">LTM net income</t>
  </si>
  <si>
    <t xml:space="preserve">LTM diluted EPS ($)</t>
  </si>
  <si>
    <t xml:space="preserve">EV / LTM revenue</t>
  </si>
  <si>
    <t xml:space="preserve">EV / LTM EBITDA</t>
  </si>
  <si>
    <t xml:space="preserve">P / LTM EPS</t>
  </si>
  <si>
    <t xml:space="preserve">EBITDA margin</t>
  </si>
  <si>
    <t xml:space="preserve">Raw beta (2y wkly)</t>
  </si>
  <si>
    <t xml:space="preserve">Adj. beta (Blume)</t>
  </si>
  <si>
    <t xml:space="preserve">D / E (market)</t>
  </si>
  <si>
    <t xml:space="preserve">Unlevered beta</t>
  </si>
  <si>
    <t xml:space="preserve">Source</t>
  </si>
  <si>
    <t xml:space="preserve">GWRE</t>
  </si>
  <si>
    <t xml:space="preserve">Guidewire Software</t>
  </si>
  <si>
    <t xml:space="preserve">10-K FY26 (FY to 31 Jul 2026, acc. 0001528396-26-000046). Debt = convertible senior notes, net. Cash = cash $372.9M + short-term $380.2M + long-term investments $462.2M. Shares: cover 31 Aug 2026. Price: Yahoo Finance close 9 Oct 2026.</t>
  </si>
  <si>
    <t xml:space="preserve">BSY</t>
  </si>
  <si>
    <t xml:space="preserve">Bentley Systems</t>
  </si>
  <si>
    <t xml:space="preserve">10-K FY25 (acc. 0001031308-26-000007) + 10-Q 2Q26 (acc. 0001031308-26-000023). Debt = current $6.9M + long-term $1,210.3M. Shares = 11,515,127 Class A + 290,577,762 Class B (10-Q cover). D&amp;A: CF "depreciation, amortization and impairment" (FY25) / D&amp;A (6M). Price: Yahoo Finance close 9 Oct 2026.</t>
  </si>
  <si>
    <t xml:space="preserve">VEEV</t>
  </si>
  <si>
    <t xml:space="preserve">Veeva Systems</t>
  </si>
  <si>
    <t xml:space="preserve">10-K FY26 (FY to 31 Jan 2026) + 10-Q 2Q27 (to 31 Jul 2026, acc. 0001393052-26-000036). No debt. Cash = cash $1,812.0M + short-term investments $5,430.9M. Shares: cover 25 Aug 2026 (Class A + Class B). Price: Yahoo Finance close 9 Oct 2026.</t>
  </si>
  <si>
    <t xml:space="preserve">ROP</t>
  </si>
  <si>
    <t xml:space="preserve">Roper Technologies</t>
  </si>
  <si>
    <t xml:space="preserve">10-K FY25 (acc. 0000882835-26-000009) + 10-Q 2Q26 (acc. 0000882835-26-000036). Debt = current $718.3M + long-term $10,601.1M. Other = equity investment −$1,792.2M. P/E n.m.: 6M26 equity-investment gain $1,002.5M. Shares: cover 28 Jul 2026. Price: Yahoo Finance close 9 Oct 2026.</t>
  </si>
  <si>
    <t xml:space="preserve">MANH</t>
  </si>
  <si>
    <t xml:space="preserve">Manhattan Associates</t>
  </si>
  <si>
    <t xml:space="preserve">10-K FY25 + 10-Q 2Q26 (acc. 0001193125-26-327591). No debt. Shares: cover 28 Jul 2026. Price: Yahoo Finance close 9 Oct 2026.</t>
  </si>
  <si>
    <t xml:space="preserve">Maximum</t>
  </si>
  <si>
    <t xml:space="preserve">75th percentile</t>
  </si>
  <si>
    <t xml:space="preserve">Median</t>
  </si>
  <si>
    <t xml:space="preserve">Mean</t>
  </si>
  <si>
    <t xml:space="preserve">25th percentile</t>
  </si>
  <si>
    <t xml:space="preserve">Minimum</t>
  </si>
  <si>
    <t xml:space="preserve">TYL</t>
  </si>
  <si>
    <t xml:space="preserve">Tyler Technologies (subject, at market)</t>
  </si>
  <si>
    <t xml:space="preserve">TYL LTM from IS tab (FY25 + 6M26 − 6M25); EV uses convertible principal and Jun-26 cash; LTM EPS includes the $25.0M non-taxable remeasurement gain ($0.60/sh). Beta: IC Simulator OLS of 105 weekly returns vs S&amp;P 500, 7 Oct 2024–9 Oct 2026 (Yahoo Finance).</t>
  </si>
  <si>
    <t xml:space="preserve">Peers: vertical and engineering software with recurring revenue: Guidewire (insurance core systems), Bentley (infrastructure engineering), Veeva (life-sciences cloud), Roper (portfolio of vertical software incl. government/education), Manhattan Associates (supply-chain SaaS).</t>
  </si>
  <si>
    <t xml:space="preserve">EBITDA = GAAP operating income + D&amp;A from each cash flow statement (no SBC add-back). Cash includes short- and long-term marketable investments. Debt = convertible notes / term debt at carrying value. Operating leases excluded.</t>
  </si>
  <si>
    <t xml:space="preserve">Peer LTM build (FY + YTD − prior-year YTD). Values in $M from SEC XBRL company facts; EPS in $.</t>
  </si>
  <si>
    <t xml:space="preserve">Line item (XBRL concept)</t>
  </si>
  <si>
    <t xml:space="preserve">Last FY</t>
  </si>
  <si>
    <t xml:space="preserve">Latest YTD</t>
  </si>
  <si>
    <t xml:space="preserve">Prior-yr YTD</t>
  </si>
  <si>
    <t xml:space="preserve">LTM</t>
  </si>
  <si>
    <t xml:space="preserve">Revenue (RevenueFromContractWithCustomerExcludingAssessedTax)</t>
  </si>
  <si>
    <t xml:space="preserve">FY to 2026-07-31 is the latest period (10-K just filed)</t>
  </si>
  <si>
    <t xml:space="preserve">Operating income (OperatingIncomeLoss)</t>
  </si>
  <si>
    <t xml:space="preserve">D&amp;A (DepreciationAndAmortization (CF))</t>
  </si>
  <si>
    <t xml:space="preserve">Net income (ProfitLoss)</t>
  </si>
  <si>
    <t xml:space="preserve">Diluted EPS ($) (EarningsPerShareDiluted)</t>
  </si>
  <si>
    <t xml:space="preserve">FY to 2025-12-31; YTD to 2026-06-30 vs 2025-06-30</t>
  </si>
  <si>
    <t xml:space="preserve">D&amp;A (DepreciationDepletionAndAmortization (CF))</t>
  </si>
  <si>
    <t xml:space="preserve">Net income (NetIncomeLoss)</t>
  </si>
  <si>
    <t xml:space="preserve">FY to 2026-01-31; YTD to 2026-07-31 vs 2025-07-31</t>
  </si>
  <si>
    <t xml:space="preserve">D&amp;A (OtherDepreciationAndAmortization (CF))</t>
  </si>
  <si>
    <t xml:space="preserve">D&amp;A (Depreciation + AmortizationOfIntangibleAssets (CF))</t>
  </si>
  <si>
    <t xml:space="preserve">Tyler Technologies (TYL) — Sensitivity analysis (implied value per share, $)</t>
  </si>
  <si>
    <t xml:space="preserve">Every cell is a live formula that re-runs the DCF (no Excel Data Tables). Axis values are blue inputs; the shaded cell is the base case.</t>
  </si>
  <si>
    <t xml:space="preserve">Grid 1 — DCF (Gordon growth): WACC × terminal growth rate</t>
  </si>
  <si>
    <t xml:space="preserve">Axis steps</t>
  </si>
  <si>
    <t xml:space="preserve">WACC ↓  ·  Terminal growth g →</t>
  </si>
  <si>
    <t xml:space="preserve">← column step</t>
  </si>
  <si>
    <t xml:space="preserve">← row step</t>
  </si>
  <si>
    <t xml:space="preserve">Reading the output: the terminal value carries most of EV. Compare the implied exit multiple (DCF tab) with the comps, and remember that Gordon growth assumes Tyler drops from ~8% growth in FY30E to g at once.</t>
  </si>
  <si>
    <t xml:space="preserve">Grid 2 — DCF (exit multiple): WACC × exit EV/EBITDA multiple</t>
  </si>
  <si>
    <t xml:space="preserve">WACC ↓  ·  Exit multiple →</t>
  </si>
  <si>
    <t xml:space="preserve">Reading the output: compare the exit multiple needed to justify the current price with the peers' LTM multiples, and ask what growth that multiple implies for FY31 onward.</t>
  </si>
  <si>
    <t xml:space="preserve">Grid 3 — Operating drivers (Gordon DCF at base WACC and g): revenue growth Δ × EBITDA margin Δ</t>
  </si>
  <si>
    <t xml:space="preserve">Revenue growth Δ / yr ↓  ·  EBITDA margin Δ →</t>
  </si>
  <si>
    <t xml:space="preserve">Reading the output: compare one step on each axis (+1 point of annual revenue growth vs +50 bp of EBITDA margin). Then ask which one management's 2030 targets (non-GAAP operating margin in the mid-30s) rely on, and how far GAAP margins after SBC sit from them.</t>
  </si>
  <si>
    <t xml:space="preserve">Tyler Technologies (TYL) — Valuation summary (football field)</t>
  </si>
  <si>
    <t xml:space="preserve">(Implied value per share, $; price $329.55 at close 09 Oct 2026)</t>
  </si>
  <si>
    <t xml:space="preserve">Method</t>
  </si>
  <si>
    <t xml:space="preserve">Low</t>
  </si>
  <si>
    <t xml:space="preserve">High</t>
  </si>
  <si>
    <t xml:space="preserve">Bar length</t>
  </si>
  <si>
    <t xml:space="preserve">Basis</t>
  </si>
  <si>
    <t xml:space="preserve">52-week trading range</t>
  </si>
  <si>
    <t xml:space="preserve">Yahoo Finance daily high/low, 12 months to 09 Oct 2026</t>
  </si>
  <si>
    <t xml:space="preserve">Trading comps — EV / LTM EBITDA (25th–75th pct)</t>
  </si>
  <si>
    <t xml:space="preserve">Peer interquartile EV/EBITDA × subject LTM EBITDA, bridged to equity</t>
  </si>
  <si>
    <t xml:space="preserve">Trading comps — P / LTM EPS (25th–75th pct)</t>
  </si>
  <si>
    <t xml:space="preserve">Peer interquartile P/E × subject LTM diluted EPS</t>
  </si>
  <si>
    <t xml:space="preserve">DCF — Gordon growth (WACC ±50 bp, g ±50 bp)</t>
  </si>
  <si>
    <t xml:space="preserve">Inner 3×3 of Sensitivity grid 1</t>
  </si>
  <si>
    <t xml:space="preserve">DCF — exit multiple (WACC ±50 bp, multiple ±1.0x)</t>
  </si>
  <si>
    <t xml:space="preserve">Inner 3×3 of Sensitivity grid 2</t>
  </si>
  <si>
    <t xml:space="preserve">DCF midpoint (headline)</t>
  </si>
  <si>
    <t xml:space="preserve">Chart: invisible "Low" series + navy "Bar length" series (stacked bar). Compare bars with the current price line above.</t>
  </si>
  <si>
    <t xml:space="preserve">Tyler Technologies (TYL) — Quarterly history (10 quarters) and ARR</t>
  </si>
  <si>
    <t xml:space="preserve">($ in millions; Q1–Q3 from 10-Q statements and disaggregation notes; *Q4 derived = FY − 9M, flagged)</t>
  </si>
  <si>
    <t xml:space="preserve">1Q24</t>
  </si>
  <si>
    <t xml:space="preserve">2Q24</t>
  </si>
  <si>
    <t xml:space="preserve">3Q24</t>
  </si>
  <si>
    <t xml:space="preserve">4Q24*</t>
  </si>
  <si>
    <t xml:space="preserve">1Q25</t>
  </si>
  <si>
    <t xml:space="preserve">2Q25</t>
  </si>
  <si>
    <t xml:space="preserve">3Q25</t>
  </si>
  <si>
    <t xml:space="preserve">4Q25*</t>
  </si>
  <si>
    <t xml:space="preserve">1Q26</t>
  </si>
  <si>
    <t xml:space="preserve">2Q26</t>
  </si>
  <si>
    <t xml:space="preserve">Quarterly revenue by type and earnings</t>
  </si>
  <si>
    <t xml:space="preserve">10-Q statements of income and disaggregation-of-revenue notes (R pages). Q4 = FY (10-K) − Q1–Q3.</t>
  </si>
  <si>
    <t xml:space="preserve">SaaS</t>
  </si>
  <si>
    <t xml:space="preserve">Transaction-based fees</t>
  </si>
  <si>
    <t xml:space="preserve">Maintenance</t>
  </si>
  <si>
    <t xml:space="preserve">Operating income</t>
  </si>
  <si>
    <t xml:space="preserve">Recurring revenue (SaaS + transaction + maintenance)</t>
  </si>
  <si>
    <t xml:space="preserve">ARR = quarterly recurring revenue × 4</t>
  </si>
  <si>
    <t xml:space="preserve">Tyler definition (Q2 release, 29 Jul 2026).</t>
  </si>
  <si>
    <t xml:space="preserve">Operating margin</t>
  </si>
  <si>
    <t xml:space="preserve">SaaS growth y/y</t>
  </si>
  <si>
    <t xml:space="preserve">Transaction-fee growth y/y</t>
  </si>
  <si>
    <t xml:space="preserve">ARR growth y/y</t>
  </si>
  <si>
    <t xml:space="preserve">Check: 1Q+2Q vs reported 6M revenue</t>
  </si>
  <si>
    <t xml:space="preserve">Check: 1Q+2Q vs reported 6M SaaS revenue</t>
  </si>
  <si>
    <t xml:space="preserve">Reported ARR (Q2 release, $bn rounded to $0.01bn)</t>
  </si>
  <si>
    <t xml:space="preserve">"Annualized recurring revenue (ARR) was $2.24 billion, up 8.2%" (8-K Ex. 99.1, 29 Jul 2026).</t>
  </si>
  <si>
    <t xml:space="preserve">  Delta: model ARR − reported (tolerance $5M for rounding)</t>
  </si>
  <si>
    <t xml:space="preserve">2Q26: revenue +8.2%, SaaS +21.7%, transaction fees +3.5%, maintenance −5.6%; GAAP operating income −0.5% (lease restructuring, acquisition costs, higher R&amp;D). FY26 guidance (29 Jul 2026): revenue $2.535–2.575bn, non-GAAP EPS $12.95–13.20, FCF margin 26–28%. (* Q4 derived = FY − 9M.)</t>
  </si>
  <si>
    <t xml:space="preserve">Tyler Technologies (TYL) — Checks</t>
  </si>
  <si>
    <t xml:space="preserve">Each check is a formula returning a difference. Internal builds must equal exactly 0.00; SEC-sourced ties pass if |Δ| ≤ 0.5 × unit ($0.5M).</t>
  </si>
  <si>
    <t xml:space="preserve">Check</t>
  </si>
  <si>
    <t xml:space="preserve">Δ (value)</t>
  </si>
  <si>
    <t xml:space="preserve">Tolerance</t>
  </si>
  <si>
    <t xml:space="preserve">Status</t>
  </si>
  <si>
    <t xml:space="preserve">Type / note</t>
  </si>
  <si>
    <t xml:space="preserve">Balance sheet balances — FY26E</t>
  </si>
  <si>
    <t xml:space="preserve">Internal: exact 0</t>
  </si>
  <si>
    <t xml:space="preserve">Balance sheet balances — FY27E</t>
  </si>
  <si>
    <t xml:space="preserve">Balance sheet balances — FY28E</t>
  </si>
  <si>
    <t xml:space="preserve">Balance sheet balances — FY29E</t>
  </si>
  <si>
    <t xml:space="preserve">Balance sheet balances — FY30E</t>
  </si>
  <si>
    <t xml:space="preserve">Balance sheet balances (filed) — FY22A</t>
  </si>
  <si>
    <t xml:space="preserve">SEC tie</t>
  </si>
  <si>
    <t xml:space="preserve">Balance sheet balances (filed) — FY23A</t>
  </si>
  <si>
    <t xml:space="preserve">Balance sheet balances (filed) — FY24A</t>
  </si>
  <si>
    <t xml:space="preserve">Balance sheet balances (filed) — FY25A</t>
  </si>
  <si>
    <t xml:space="preserve">Balance sheet balances (filed) — Jun-25</t>
  </si>
  <si>
    <t xml:space="preserve">Balance sheet balances (filed) — Jun-26</t>
  </si>
  <si>
    <t xml:space="preserve">Cash ties: CF ending cash = BS cash — FY26E</t>
  </si>
  <si>
    <t xml:space="preserve">Cash ties: CF ending cash = BS cash — FY27E</t>
  </si>
  <si>
    <t xml:space="preserve">Cash ties: CF ending cash = BS cash — FY28E</t>
  </si>
  <si>
    <t xml:space="preserve">Cash ties: CF ending cash = BS cash — FY29E</t>
  </si>
  <si>
    <t xml:space="preserve">Cash ties: CF ending cash = BS cash — FY30E</t>
  </si>
  <si>
    <t xml:space="preserve">IS reconciles to filings — Gross profit (sum of |Δ| FY22–6M26)</t>
  </si>
  <si>
    <t xml:space="preserve">SEC tie (6 periods × $0.5M)</t>
  </si>
  <si>
    <t xml:space="preserve">IS reconciles to filings — Operating income (sum of |Δ| FY22–6M26)</t>
  </si>
  <si>
    <t xml:space="preserve">IS reconciles to filings — Pre-tax income (sum of |Δ| FY22–6M26)</t>
  </si>
  <si>
    <t xml:space="preserve">IS reconciles to filings — Net income (sum of |Δ| FY22–6M26)</t>
  </si>
  <si>
    <t xml:space="preserve">IS reconciles — diluted EPS (max |Δ|, $/sh)</t>
  </si>
  <si>
    <t xml:space="preserve">SEC tie: reported EPS rounded to $0.01; weighted shares in thousands</t>
  </si>
  <si>
    <t xml:space="preserve">BS reconciles — Total assets (sum |Δ|)</t>
  </si>
  <si>
    <t xml:space="preserve">SEC tie (6 balance sheets)</t>
  </si>
  <si>
    <t xml:space="preserve">BS reconciles — Total liabilities (sum |Δ|)</t>
  </si>
  <si>
    <t xml:space="preserve">BS reconciles — Total equity (sum |Δ|)</t>
  </si>
  <si>
    <t xml:space="preserve">CF reconciles — CFO (sum |Δ|)</t>
  </si>
  <si>
    <t xml:space="preserve">CF reconciles — CFI (sum |Δ|)</t>
  </si>
  <si>
    <t xml:space="preserve">CF reconciles — CFF (sum |Δ|)</t>
  </si>
  <si>
    <t xml:space="preserve">CF reconciles — Ending cash (sum |Δ|)</t>
  </si>
  <si>
    <t xml:space="preserve">CF ending cash = BS cash (FY22A–FY25A, Jun-25, Jun-26)</t>
  </si>
  <si>
    <t xml:space="preserve">Revenue by line sums to filed total revenue (FY22–6M26, sum |Δ|)</t>
  </si>
  <si>
    <t xml:space="preserve">Quarterly: 1Q+2Q = reported 6M revenue and SaaS (2025, 2026)</t>
  </si>
  <si>
    <t xml:space="preserve">ARR 2Q26 (recurring × 4) vs reported $2.24bn</t>
  </si>
  <si>
    <t xml:space="preserve">Tie to release (rounded to $0.01bn)</t>
  </si>
  <si>
    <t xml:space="preserve">LTM revenue = FY25 + 6M26 − 6M25</t>
  </si>
  <si>
    <t xml:space="preserve">Internal</t>
  </si>
  <si>
    <t xml:space="preserve">Revenue build = IS revenue (FY26E–FY30E)</t>
  </si>
  <si>
    <t xml:space="preserve">2031 notes carrying value ≤ principal (FY26E–FY30E)</t>
  </si>
  <si>
    <t xml:space="preserve">2026 notes fully repaid (FY26E closing balance)</t>
  </si>
  <si>
    <t xml:space="preserve">Revolver never negative (min closing balance)</t>
  </si>
  <si>
    <t xml:space="preserve">Revolver within availability (shortfall, if any)</t>
  </si>
  <si>
    <t xml:space="preserve">Cash ≥ minimum cash in every forecast year (shortfall)</t>
  </si>
  <si>
    <t xml:space="preserve">Intangibles and software balances stay positive (min)</t>
  </si>
  <si>
    <t xml:space="preserve">Sensitivity grid 1 base cell = DCF Gordon value</t>
  </si>
  <si>
    <t xml:space="preserve">Sensitivity grid 2 base cell = DCF exit-multiple value</t>
  </si>
  <si>
    <t xml:space="preserve">Sensitivity grid 3 base cell = DCF Gordon value</t>
  </si>
  <si>
    <t xml:space="preserve">WACC exceeds terminal growth (margin, must be &gt; 0)</t>
  </si>
  <si>
    <t xml:space="preserve">Internal: flags WACC − g &lt; 1 pt (0 until both are entered)</t>
  </si>
  <si>
    <t xml:space="preserve">MASTER CHECK</t>
  </si>
  <si>
    <t xml:space="preserve">Tyler Technologies (TYL) — Practice drills (warm-up before you build the forecast)</t>
  </si>
  <si>
    <t xml:space="preserve">Enter your answer in the yellow cell (column D). Column E says Correct / Not yet. Drills use only historical data and generic mechanics, never the valuation answer.</t>
  </si>
  <si>
    <t xml:space="preserve">No.</t>
  </si>
  <si>
    <t xml:space="preserve">Drill</t>
  </si>
  <si>
    <t xml:space="preserve">Your answer</t>
  </si>
  <si>
    <t xml:space="preserve">Feedback</t>
  </si>
  <si>
    <t xml:space="preserve">Hint (where to look)</t>
  </si>
  <si>
    <t xml:space="preserve">LTM Jun-26 total revenue ($M): FY25A + 6M26A − 6M25A.</t>
  </si>
  <si>
    <t xml:space="preserve">IS tab, revenue row.</t>
  </si>
  <si>
    <t xml:space="preserve">FY25A SaaS revenue growth.</t>
  </si>
  <si>
    <t xml:space="preserve">Revenue &amp; ARR build: SaaS line (disaggregation note).</t>
  </si>
  <si>
    <t xml:space="preserve">FY25A recurring revenue as a share of total revenue.</t>
  </si>
  <si>
    <t xml:space="preserve">Recurring = SaaS + transaction fees + maintenance.</t>
  </si>
  <si>
    <t xml:space="preserve">ARR at 2Q26 ($M) using Tyler's definition.</t>
  </si>
  <si>
    <t xml:space="preserve">Quarterly tab: 2Q26 recurring revenue × 4.</t>
  </si>
  <si>
    <t xml:space="preserve">FY25A deferred revenue (current) ÷ (SaaS + maintenance revenue).</t>
  </si>
  <si>
    <t xml:space="preserve">BS deferred revenue ÷ the billed-in-advance revenue base.</t>
  </si>
  <si>
    <t xml:space="preserve">FY25A free cash flow, company definition ($M).</t>
  </si>
  <si>
    <t xml:space="preserve">CFO − additions to PP&amp;E − investment in software development.</t>
  </si>
  <si>
    <t xml:space="preserve">FY25A share-based compensation as a % of revenue.</t>
  </si>
  <si>
    <t xml:space="preserve">CF statement SBC ÷ revenue.</t>
  </si>
  <si>
    <t xml:space="preserve">FY25A EBITDA ($M), unadjusted (GAAP operating income + CF D&amp;A).</t>
  </si>
  <si>
    <t xml:space="preserve">IS tab, memo section.</t>
  </si>
  <si>
    <t xml:space="preserve">Shares underlying the 2031 notes if fully converted (M): $1,437.5M ÷ $405.94.</t>
  </si>
  <si>
    <t xml:space="preserve">Inputs: convertible terms.</t>
  </si>
  <si>
    <t xml:space="preserve">With net share settlement and the stock at $500, how many net new shares (M) would the 2031 notes require before the capped call?</t>
  </si>
  <si>
    <t xml:space="preserve">Principal is paid in cash; only the in-the-money value is paid in shares: (P − K) ÷ P × shares underlying.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</si>
</sst>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dd\-mmm\-yy"/>
    <numFmt numFmtId="166" formatCode="#,##0_);\(#,##0\);\–_)"/>
    <numFmt numFmtId="167" formatCode="0.0%_);\(0.0%\);\–_)"/>
    <numFmt numFmtId="168" formatCode="#,##0.0_);\(#,##0.0\);\–_)"/>
    <numFmt numFmtId="169" formatCode="0.00%_);\(0.00%\);\–_)"/>
    <numFmt numFmtId="170" formatCode="\$#,##0.00_);&quot;($&quot;#,##0.00\);\–_)"/>
    <numFmt numFmtId="171" formatCode="&quot;n2&quot;"/>
    <numFmt numFmtId="172" formatCode="&quot;n3&quot;"/>
    <numFmt numFmtId="173" formatCode="0.0\x_);\(0.0&quot;x)&quot;;\–_)"/>
    <numFmt numFmtId="174" formatCode="0.00"/>
    <numFmt numFmtId="175" formatCode="0.00_);\(0.00\);0.00_)"/>
    <numFmt numFmtId="176" formatCode="0.00\x"/>
    <numFmt numFmtId="177" formatCode="0.000_);\(0.000\);\–_)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E3A5F"/>
      <name val="Georgia"/>
      <family val="0"/>
      <charset val="1"/>
    </font>
    <font>
      <sz val="13"/>
      <color rgb="FF121826"/>
      <name val="Georgia"/>
      <family val="0"/>
      <charset val="1"/>
    </font>
    <font>
      <b val="true"/>
      <sz val="1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4"/>
      <color rgb="FF121826"/>
      <name val="Georgia"/>
      <family val="0"/>
      <charset val="1"/>
    </font>
    <font>
      <i val="true"/>
      <sz val="9"/>
      <color rgb="FF5B6475"/>
      <name val="Arial"/>
      <family val="0"/>
      <charset val="1"/>
    </font>
    <font>
      <b val="true"/>
      <sz val="10"/>
      <color rgb="FF121826"/>
      <name val="Arial"/>
      <family val="0"/>
      <charset val="1"/>
    </font>
    <font>
      <sz val="9"/>
      <color rgb="FF5B6475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0000FF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E3A5F"/>
        <bgColor rgb="FF333333"/>
      </patternFill>
    </fill>
    <fill>
      <patternFill patternType="solid">
        <fgColor rgb="FFE4EAF3"/>
        <bgColor rgb="FFF2F4F8"/>
      </patternFill>
    </fill>
    <fill>
      <patternFill patternType="solid">
        <fgColor rgb="FFFFF9E6"/>
        <bgColor rgb="FFFFFFFF"/>
      </patternFill>
    </fill>
    <fill>
      <patternFill patternType="solid">
        <fgColor rgb="FFF2F4F8"/>
        <bgColor rgb="FFFFF9E6"/>
      </patternFill>
    </fill>
    <fill>
      <patternFill patternType="solid">
        <fgColor rgb="FFFCE9C8"/>
        <bgColor rgb="FFFFF9E6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rgb="FF121826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3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3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4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1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14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14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14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14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2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3" fontId="14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2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4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5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1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6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6" fontId="14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4" fontId="14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7" fontId="14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1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3" fontId="1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76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14" fillId="5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4" fillId="5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6" fontId="14" fillId="5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6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8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6" fillId="6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3" fontId="16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3" fontId="8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3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5" fontId="1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5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14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7" fontId="14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4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b val="1"/>
        <color rgb="FFB42318"/>
      </font>
    </dxf>
    <dxf>
      <font>
        <b val="1"/>
        <color rgb="FF0B5D4B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B5D4B"/>
      <rgbColor rgb="FFC0C0C0"/>
      <rgbColor rgb="FF808080"/>
      <rgbColor rgb="FF9999FF"/>
      <rgbColor rgb="FF993366"/>
      <rgbColor rgb="FFFFF9E6"/>
      <rgbColor rgb="FFE4EAF3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4F8"/>
      <rgbColor rgb="FFCCFFCC"/>
      <rgbColor rgb="FFFCE9C8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475"/>
      <rgbColor rgb="FF969696"/>
      <rgbColor rgb="FF1E3A5F"/>
      <rgbColor rgb="FF339966"/>
      <rgbColor rgb="FF121826"/>
      <rgbColor rgb="FF333300"/>
      <rgbColor rgb="FFB4231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C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95"/>
  </cols>
  <sheetData>
    <row r="2" customFormat="false" ht="24.45" hidden="false" customHeight="false" outlineLevel="0" collapsed="false">
      <c r="B2" s="1" t="s">
        <v>0</v>
      </c>
    </row>
    <row r="3" customFormat="false" ht="16.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  <c r="C5" s="4" t="s">
        <v>3</v>
      </c>
    </row>
    <row r="6" customFormat="false" ht="15" hidden="false" customHeight="false" outlineLevel="0" collapsed="false">
      <c r="B6" s="3" t="s">
        <v>4</v>
      </c>
      <c r="C6" s="4" t="s">
        <v>5</v>
      </c>
    </row>
    <row r="7" customFormat="false" ht="15" hidden="false" customHeight="false" outlineLevel="0" collapsed="false">
      <c r="B7" s="3" t="s">
        <v>6</v>
      </c>
      <c r="C7" s="4" t="s">
        <v>7</v>
      </c>
    </row>
    <row r="8" customFormat="false" ht="15" hidden="false" customHeight="false" outlineLevel="0" collapsed="false">
      <c r="B8" s="3" t="s">
        <v>8</v>
      </c>
      <c r="C8" s="4" t="s">
        <v>9</v>
      </c>
    </row>
    <row r="9" customFormat="false" ht="15" hidden="false" customHeight="false" outlineLevel="0" collapsed="false">
      <c r="B9" s="3" t="s">
        <v>10</v>
      </c>
      <c r="C9" s="4" t="s">
        <v>11</v>
      </c>
    </row>
    <row r="10" customFormat="false" ht="15" hidden="false" customHeight="false" outlineLevel="0" collapsed="false">
      <c r="B10" s="3" t="s">
        <v>12</v>
      </c>
      <c r="C10" s="4" t="s">
        <v>13</v>
      </c>
    </row>
    <row r="11" customFormat="false" ht="15" hidden="false" customHeight="false" outlineLevel="0" collapsed="false">
      <c r="B11" s="3" t="s">
        <v>14</v>
      </c>
      <c r="C11" s="5" t="str">
        <f aca="false">Checks!E50</f>
        <v>ALL CHECKS OK</v>
      </c>
    </row>
    <row r="13" customFormat="false" ht="15" hidden="false" customHeight="false" outlineLevel="0" collapsed="false">
      <c r="B13" s="6" t="s">
        <v>15</v>
      </c>
      <c r="C13" s="7"/>
    </row>
    <row r="14" customFormat="false" ht="15" hidden="false" customHeight="false" outlineLevel="0" collapsed="false">
      <c r="B14" s="3" t="s">
        <v>16</v>
      </c>
      <c r="C14" s="8" t="s">
        <v>17</v>
      </c>
    </row>
    <row r="15" customFormat="false" ht="23.85" hidden="false" customHeight="false" outlineLevel="0" collapsed="false">
      <c r="B15" s="3" t="s">
        <v>18</v>
      </c>
      <c r="C15" s="8" t="s">
        <v>19</v>
      </c>
    </row>
    <row r="16" customFormat="false" ht="23.85" hidden="false" customHeight="false" outlineLevel="0" collapsed="false">
      <c r="B16" s="3" t="s">
        <v>20</v>
      </c>
      <c r="C16" s="8" t="s">
        <v>21</v>
      </c>
    </row>
    <row r="17" customFormat="false" ht="23.85" hidden="false" customHeight="false" outlineLevel="0" collapsed="false">
      <c r="B17" s="3" t="s">
        <v>22</v>
      </c>
      <c r="C17" s="8" t="s">
        <v>23</v>
      </c>
    </row>
    <row r="18" customFormat="false" ht="23.85" hidden="false" customHeight="false" outlineLevel="0" collapsed="false">
      <c r="B18" s="3" t="s">
        <v>24</v>
      </c>
      <c r="C18" s="8" t="s">
        <v>25</v>
      </c>
    </row>
    <row r="19" customFormat="false" ht="23.85" hidden="false" customHeight="false" outlineLevel="0" collapsed="false">
      <c r="B19" s="3" t="s">
        <v>26</v>
      </c>
      <c r="C19" s="8" t="s">
        <v>27</v>
      </c>
    </row>
    <row r="20" customFormat="false" ht="23.85" hidden="false" customHeight="false" outlineLevel="0" collapsed="false">
      <c r="B20" s="3" t="s">
        <v>28</v>
      </c>
      <c r="C20" s="8" t="s">
        <v>29</v>
      </c>
    </row>
    <row r="21" customFormat="false" ht="23.85" hidden="false" customHeight="false" outlineLevel="0" collapsed="false">
      <c r="B21" s="3" t="s">
        <v>30</v>
      </c>
      <c r="C21" s="8" t="s">
        <v>31</v>
      </c>
    </row>
    <row r="22" customFormat="false" ht="15" hidden="false" customHeight="false" outlineLevel="0" collapsed="false">
      <c r="B22" s="3" t="s">
        <v>32</v>
      </c>
      <c r="C22" s="8" t="s">
        <v>33</v>
      </c>
    </row>
    <row r="23" customFormat="false" ht="15" hidden="false" customHeight="false" outlineLevel="0" collapsed="false">
      <c r="B23" s="3" t="s">
        <v>34</v>
      </c>
      <c r="C23" s="8" t="s">
        <v>35</v>
      </c>
    </row>
    <row r="24" customFormat="false" ht="15" hidden="false" customHeight="false" outlineLevel="0" collapsed="false">
      <c r="B24" s="3" t="s">
        <v>36</v>
      </c>
      <c r="C24" s="8" t="s">
        <v>37</v>
      </c>
    </row>
    <row r="25" customFormat="false" ht="15" hidden="false" customHeight="false" outlineLevel="0" collapsed="false">
      <c r="B25" s="3" t="s">
        <v>38</v>
      </c>
      <c r="C25" s="8" t="s">
        <v>39</v>
      </c>
    </row>
    <row r="26" customFormat="false" ht="15" hidden="false" customHeight="false" outlineLevel="0" collapsed="false">
      <c r="B26" s="3" t="s">
        <v>40</v>
      </c>
      <c r="C26" s="8" t="s">
        <v>41</v>
      </c>
    </row>
    <row r="27" customFormat="false" ht="23.85" hidden="false" customHeight="false" outlineLevel="0" collapsed="false">
      <c r="B27" s="3" t="s">
        <v>42</v>
      </c>
      <c r="C27" s="8" t="s">
        <v>43</v>
      </c>
    </row>
    <row r="29" customFormat="false" ht="15" hidden="false" customHeight="false" outlineLevel="0" collapsed="false">
      <c r="B29" s="6" t="s">
        <v>44</v>
      </c>
      <c r="C29" s="7"/>
    </row>
    <row r="30" customFormat="false" ht="45" hidden="false" customHeight="true" outlineLevel="0" collapsed="false">
      <c r="B30" s="3" t="s">
        <v>45</v>
      </c>
      <c r="C30" s="8" t="s">
        <v>46</v>
      </c>
    </row>
    <row r="31" customFormat="false" ht="30" hidden="false" customHeight="true" outlineLevel="0" collapsed="false">
      <c r="B31" s="3" t="s">
        <v>47</v>
      </c>
      <c r="C31" s="8" t="s">
        <v>48</v>
      </c>
    </row>
    <row r="32" customFormat="false" ht="45" hidden="false" customHeight="true" outlineLevel="0" collapsed="false">
      <c r="B32" s="3" t="s">
        <v>49</v>
      </c>
      <c r="C32" s="8" t="s">
        <v>50</v>
      </c>
    </row>
    <row r="33" customFormat="false" ht="30" hidden="false" customHeight="true" outlineLevel="0" collapsed="false">
      <c r="B33" s="3" t="s">
        <v>12</v>
      </c>
      <c r="C33" s="8" t="s">
        <v>51</v>
      </c>
    </row>
    <row r="34" customFormat="false" ht="30" hidden="false" customHeight="true" outlineLevel="0" collapsed="false">
      <c r="B34" s="3" t="s">
        <v>52</v>
      </c>
      <c r="C34" s="8" t="s">
        <v>53</v>
      </c>
    </row>
    <row r="35" customFormat="false" ht="30" hidden="false" customHeight="true" outlineLevel="0" collapsed="false">
      <c r="B35" s="3" t="s">
        <v>40</v>
      </c>
      <c r="C35" s="8" t="s">
        <v>54</v>
      </c>
    </row>
    <row r="36" customFormat="false" ht="60" hidden="false" customHeight="true" outlineLevel="0" collapsed="false">
      <c r="B36" s="3" t="s">
        <v>55</v>
      </c>
      <c r="C36" s="8" t="s">
        <v>56</v>
      </c>
    </row>
    <row r="37" customFormat="false" ht="45" hidden="false" customHeight="true" outlineLevel="0" collapsed="false">
      <c r="B37" s="3" t="s">
        <v>57</v>
      </c>
      <c r="C37" s="8" t="s">
        <v>58</v>
      </c>
    </row>
    <row r="38" customFormat="false" ht="30" hidden="false" customHeight="true" outlineLevel="0" collapsed="false">
      <c r="B38" s="3" t="s">
        <v>59</v>
      </c>
      <c r="C38" s="8" t="s">
        <v>60</v>
      </c>
    </row>
    <row r="39" customFormat="false" ht="60" hidden="false" customHeight="true" outlineLevel="0" collapsed="false">
      <c r="B39" s="3" t="s">
        <v>61</v>
      </c>
      <c r="C39" s="8" t="s">
        <v>62</v>
      </c>
    </row>
    <row r="40" customFormat="false" ht="45" hidden="false" customHeight="true" outlineLevel="0" collapsed="false">
      <c r="B40" s="3" t="s">
        <v>63</v>
      </c>
      <c r="C40" s="8" t="s">
        <v>64</v>
      </c>
    </row>
  </sheetData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IC Simulator · Tyler Technologies (TYL) · Advanced · Practice use only ·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P7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3" min="3" style="0" width="9"/>
    <col collapsed="false" customWidth="true" hidden="false" outlineLevel="0" max="15" min="4" style="0" width="11.5"/>
    <col collapsed="false" customWidth="true" hidden="false" outlineLevel="0" max="16" min="16" style="0" width="70"/>
  </cols>
  <sheetData>
    <row r="1" customFormat="false" ht="17.35" hidden="false" customHeight="false" outlineLevel="0" collapsed="false">
      <c r="B1" s="9" t="s">
        <v>65</v>
      </c>
    </row>
    <row r="2" customFormat="false" ht="15" hidden="false" customHeight="false" outlineLevel="0" collapsed="false">
      <c r="B2" s="10" t="s">
        <v>66</v>
      </c>
    </row>
    <row r="4" customFormat="false" ht="15" hidden="false" customHeight="false" outlineLevel="0" collapsed="false">
      <c r="B4" s="11" t="s">
        <v>67</v>
      </c>
      <c r="C4" s="11" t="s">
        <v>12</v>
      </c>
      <c r="D4" s="12" t="s">
        <v>68</v>
      </c>
      <c r="E4" s="12" t="s">
        <v>69</v>
      </c>
      <c r="F4" s="12" t="s">
        <v>70</v>
      </c>
      <c r="G4" s="12" t="s">
        <v>71</v>
      </c>
      <c r="H4" s="12" t="s">
        <v>72</v>
      </c>
      <c r="I4" s="12" t="s">
        <v>73</v>
      </c>
      <c r="J4" s="12" t="s">
        <v>74</v>
      </c>
      <c r="K4" s="12" t="s">
        <v>75</v>
      </c>
      <c r="L4" s="12" t="s">
        <v>76</v>
      </c>
      <c r="M4" s="12" t="s">
        <v>77</v>
      </c>
      <c r="N4" s="12" t="s">
        <v>78</v>
      </c>
      <c r="O4" s="12" t="s">
        <v>79</v>
      </c>
      <c r="P4" s="11" t="s">
        <v>80</v>
      </c>
    </row>
    <row r="5" customFormat="false" ht="15" hidden="false" customHeight="false" outlineLevel="0" collapsed="false">
      <c r="B5" s="13" t="s">
        <v>81</v>
      </c>
      <c r="C5" s="14"/>
      <c r="D5" s="15" t="n">
        <v>44926</v>
      </c>
      <c r="E5" s="15" t="n">
        <v>45291</v>
      </c>
      <c r="F5" s="15" t="n">
        <v>45657</v>
      </c>
      <c r="G5" s="15" t="n">
        <v>46022</v>
      </c>
      <c r="H5" s="15" t="n">
        <v>45838</v>
      </c>
      <c r="I5" s="15" t="n">
        <v>46203</v>
      </c>
      <c r="J5" s="15" t="n">
        <v>46203</v>
      </c>
      <c r="K5" s="15" t="n">
        <v>46387</v>
      </c>
      <c r="L5" s="15" t="n">
        <v>46752</v>
      </c>
      <c r="M5" s="15" t="n">
        <v>47118</v>
      </c>
      <c r="N5" s="15" t="n">
        <v>47483</v>
      </c>
      <c r="O5" s="15" t="n">
        <v>47848</v>
      </c>
      <c r="P5" s="14"/>
    </row>
    <row r="6" customFormat="false" ht="15" hidden="false" customHeight="false" outlineLevel="0" collapsed="false">
      <c r="B6" s="13" t="s">
        <v>82</v>
      </c>
      <c r="C6" s="14"/>
      <c r="D6" s="16" t="n">
        <v>52</v>
      </c>
      <c r="E6" s="16" t="n">
        <v>52</v>
      </c>
      <c r="F6" s="16" t="n">
        <v>52</v>
      </c>
      <c r="G6" s="16" t="n">
        <v>52</v>
      </c>
      <c r="H6" s="16" t="n">
        <v>26</v>
      </c>
      <c r="I6" s="16" t="n">
        <v>26</v>
      </c>
      <c r="J6" s="16" t="n">
        <v>52</v>
      </c>
      <c r="K6" s="16" t="n">
        <v>52</v>
      </c>
      <c r="L6" s="16" t="n">
        <v>52</v>
      </c>
      <c r="M6" s="16" t="n">
        <v>52</v>
      </c>
      <c r="N6" s="16" t="n">
        <v>52</v>
      </c>
      <c r="O6" s="16" t="n">
        <v>52</v>
      </c>
      <c r="P6" s="14"/>
    </row>
    <row r="8" customFormat="false" ht="15" hidden="false" customHeight="false" outlineLevel="0" collapsed="false">
      <c r="B8" s="6" t="s">
        <v>83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customFormat="false" ht="15" hidden="false" customHeight="false" outlineLevel="0" collapsed="false">
      <c r="B9" s="4" t="s">
        <v>84</v>
      </c>
      <c r="C9" s="17" t="s">
        <v>85</v>
      </c>
      <c r="E9" s="18" t="n">
        <f aca="false">'Revenue &amp; ARR build'!E9/'Revenue &amp; ARR build'!D9-1</f>
        <v>0.232076933488283</v>
      </c>
      <c r="F9" s="18" t="n">
        <f aca="false">'Revenue &amp; ARR build'!F9/'Revenue &amp; ARR build'!E9-1</f>
        <v>0.221225545809761</v>
      </c>
      <c r="G9" s="18" t="n">
        <f aca="false">'Revenue &amp; ARR build'!G9/'Revenue &amp; ARR build'!F9-1</f>
        <v>0.206256717417906</v>
      </c>
      <c r="I9" s="18" t="n">
        <f aca="false">'Revenue &amp; ARR build'!I9/'Revenue &amp; ARR build'!H9-1</f>
        <v>0.225472134526892</v>
      </c>
      <c r="K9" s="19"/>
      <c r="L9" s="19"/>
      <c r="M9" s="19"/>
      <c r="N9" s="19"/>
      <c r="O9" s="19"/>
      <c r="P9" s="20" t="s">
        <v>86</v>
      </c>
    </row>
    <row r="10" customFormat="false" ht="15" hidden="false" customHeight="false" outlineLevel="0" collapsed="false">
      <c r="B10" s="4" t="s">
        <v>87</v>
      </c>
      <c r="C10" s="17" t="s">
        <v>85</v>
      </c>
      <c r="E10" s="18" t="n">
        <f aca="false">'Revenue &amp; ARR build'!E10/'Revenue &amp; ARR build'!D10-1</f>
        <v>0.0818067827153473</v>
      </c>
      <c r="F10" s="18" t="n">
        <f aca="false">'Revenue &amp; ARR build'!F10/'Revenue &amp; ARR build'!E10-1</f>
        <v>0.105484256612856</v>
      </c>
      <c r="G10" s="18" t="n">
        <f aca="false">'Revenue &amp; ARR build'!G10/'Revenue &amp; ARR build'!F10-1</f>
        <v>0.157962735908513</v>
      </c>
      <c r="I10" s="18" t="n">
        <f aca="false">'Revenue &amp; ARR build'!I10/'Revenue &amp; ARR build'!H10-1</f>
        <v>0.0488751574633357</v>
      </c>
      <c r="K10" s="19"/>
      <c r="L10" s="19"/>
      <c r="M10" s="19"/>
      <c r="N10" s="19"/>
      <c r="O10" s="19"/>
      <c r="P10" s="20" t="s">
        <v>88</v>
      </c>
    </row>
    <row r="11" customFormat="false" ht="15" hidden="false" customHeight="false" outlineLevel="0" collapsed="false">
      <c r="B11" s="4" t="s">
        <v>89</v>
      </c>
      <c r="C11" s="17" t="s">
        <v>85</v>
      </c>
      <c r="E11" s="18" t="n">
        <f aca="false">'Revenue &amp; ARR build'!E11/'Revenue &amp; ARR build'!D11-1</f>
        <v>-0.00382961010129035</v>
      </c>
      <c r="F11" s="18" t="n">
        <f aca="false">'Revenue &amp; ARR build'!F11/'Revenue &amp; ARR build'!E11-1</f>
        <v>-0.0075622346842783</v>
      </c>
      <c r="G11" s="18" t="n">
        <f aca="false">'Revenue &amp; ARR build'!G11/'Revenue &amp; ARR build'!F11-1</f>
        <v>-0.0378250693106933</v>
      </c>
      <c r="I11" s="18" t="n">
        <f aca="false">'Revenue &amp; ARR build'!I11/'Revenue &amp; ARR build'!H11-1</f>
        <v>-0.0455264889473779</v>
      </c>
      <c r="K11" s="19"/>
      <c r="L11" s="19"/>
      <c r="M11" s="19"/>
      <c r="N11" s="19"/>
      <c r="O11" s="19"/>
      <c r="P11" s="20" t="s">
        <v>90</v>
      </c>
    </row>
    <row r="12" customFormat="false" ht="15" hidden="false" customHeight="false" outlineLevel="0" collapsed="false">
      <c r="B12" s="4" t="s">
        <v>91</v>
      </c>
      <c r="C12" s="17" t="s">
        <v>85</v>
      </c>
      <c r="E12" s="18" t="n">
        <f aca="false">'Revenue &amp; ARR build'!E12/'Revenue &amp; ARR build'!D12-1</f>
        <v>-0.0995911751463305</v>
      </c>
      <c r="F12" s="18" t="n">
        <f aca="false">'Revenue &amp; ARR build'!F12/'Revenue &amp; ARR build'!E12-1</f>
        <v>0.0560653822766986</v>
      </c>
      <c r="G12" s="18" t="n">
        <f aca="false">'Revenue &amp; ARR build'!G12/'Revenue &amp; ARR build'!F12-1</f>
        <v>-0.0806504767207973</v>
      </c>
      <c r="I12" s="18" t="n">
        <f aca="false">'Revenue &amp; ARR build'!I12/'Revenue &amp; ARR build'!H12-1</f>
        <v>0.0106879066051426</v>
      </c>
      <c r="K12" s="19"/>
      <c r="L12" s="19"/>
      <c r="M12" s="19"/>
      <c r="N12" s="19"/>
      <c r="O12" s="19"/>
      <c r="P12" s="20" t="s">
        <v>92</v>
      </c>
    </row>
    <row r="13" customFormat="false" ht="15" hidden="false" customHeight="false" outlineLevel="0" collapsed="false">
      <c r="B13" s="4" t="s">
        <v>93</v>
      </c>
      <c r="C13" s="17" t="s">
        <v>85</v>
      </c>
      <c r="E13" s="18" t="n">
        <f aca="false">'Revenue &amp; ARR build'!E13/'Revenue &amp; ARR build'!D13-1</f>
        <v>-0.176628185580483</v>
      </c>
      <c r="F13" s="18" t="n">
        <f aca="false">'Revenue &amp; ARR build'!F13/'Revenue &amp; ARR build'!E13-1</f>
        <v>-0.103872913414989</v>
      </c>
      <c r="G13" s="18" t="n">
        <f aca="false">'Revenue &amp; ARR build'!G13/'Revenue &amp; ARR build'!F13-1</f>
        <v>-0.146511387621957</v>
      </c>
      <c r="I13" s="18" t="n">
        <f aca="false">'Revenue &amp; ARR build'!I13/'Revenue &amp; ARR build'!H13-1</f>
        <v>0.0844731208372977</v>
      </c>
      <c r="K13" s="19"/>
      <c r="L13" s="19"/>
      <c r="M13" s="19"/>
      <c r="N13" s="19"/>
      <c r="O13" s="19"/>
      <c r="P13" s="20" t="s">
        <v>94</v>
      </c>
    </row>
    <row r="14" customFormat="false" ht="15" hidden="false" customHeight="false" outlineLevel="0" collapsed="false">
      <c r="B14" s="6" t="s">
        <v>95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customFormat="false" ht="15" hidden="false" customHeight="false" outlineLevel="0" collapsed="false">
      <c r="B15" s="4" t="s">
        <v>96</v>
      </c>
      <c r="C15" s="17" t="s">
        <v>85</v>
      </c>
      <c r="D15" s="18" t="n">
        <f aca="false">IS!D10/IS!D8</f>
        <v>0.57633698770514</v>
      </c>
      <c r="E15" s="18" t="n">
        <f aca="false">IS!E10/IS!E8</f>
        <v>0.558806937975182</v>
      </c>
      <c r="F15" s="18" t="n">
        <f aca="false">IS!F10/IS!F8</f>
        <v>0.562279124877269</v>
      </c>
      <c r="G15" s="18" t="n">
        <f aca="false">IS!G10/IS!G8</f>
        <v>0.535359338689899</v>
      </c>
      <c r="H15" s="18" t="n">
        <f aca="false">IS!H10/IS!H8</f>
        <v>0.534768471396267</v>
      </c>
      <c r="I15" s="18" t="n">
        <f aca="false">IS!I10/IS!I8</f>
        <v>0.52050573693448</v>
      </c>
      <c r="J15" s="18" t="n">
        <f aca="false">IS!J10/IS!J8</f>
        <v>0.527947360471046</v>
      </c>
      <c r="K15" s="19"/>
      <c r="L15" s="19"/>
      <c r="M15" s="19"/>
      <c r="N15" s="19"/>
      <c r="O15" s="19"/>
      <c r="P15" s="20" t="s">
        <v>97</v>
      </c>
    </row>
    <row r="16" customFormat="false" ht="15" hidden="false" customHeight="false" outlineLevel="0" collapsed="false">
      <c r="B16" s="4" t="s">
        <v>98</v>
      </c>
      <c r="C16" s="17" t="s">
        <v>85</v>
      </c>
      <c r="D16" s="18" t="n">
        <f aca="false">IS!D13/IS!D8</f>
        <v>0.0733665044503201</v>
      </c>
      <c r="E16" s="18" t="n">
        <f aca="false">IS!E13/IS!E8</f>
        <v>0.0767362230120543</v>
      </c>
      <c r="F16" s="18" t="n">
        <f aca="false">IS!F13/IS!F8</f>
        <v>0.0737818218049091</v>
      </c>
      <c r="G16" s="18" t="n">
        <f aca="false">IS!G13/IS!G8</f>
        <v>0.0636999751322706</v>
      </c>
      <c r="H16" s="18" t="n">
        <f aca="false">IS!H13/IS!H8</f>
        <v>0.0626764214032423</v>
      </c>
      <c r="I16" s="18" t="n">
        <f aca="false">IS!I13/IS!I8</f>
        <v>0.0624885289119092</v>
      </c>
      <c r="J16" s="18" t="n">
        <f aca="false">IS!J13/IS!J8</f>
        <v>0.0635616467674244</v>
      </c>
      <c r="K16" s="19"/>
      <c r="L16" s="19"/>
      <c r="M16" s="19"/>
      <c r="N16" s="19"/>
      <c r="O16" s="19"/>
      <c r="P16" s="20" t="s">
        <v>99</v>
      </c>
    </row>
    <row r="17" customFormat="false" ht="15" hidden="false" customHeight="false" outlineLevel="0" collapsed="false">
      <c r="B17" s="4" t="s">
        <v>100</v>
      </c>
      <c r="C17" s="17" t="s">
        <v>85</v>
      </c>
      <c r="D17" s="18" t="n">
        <f aca="false">IS!D14/IS!D8</f>
        <v>0.144483527221863</v>
      </c>
      <c r="E17" s="18" t="n">
        <f aca="false">IS!E14/IS!E8</f>
        <v>0.158101622594276</v>
      </c>
      <c r="F17" s="18" t="n">
        <f aca="false">IS!F14/IS!F8</f>
        <v>0.140769752872458</v>
      </c>
      <c r="G17" s="18" t="n">
        <f aca="false">IS!G14/IS!G8</f>
        <v>0.135677902878654</v>
      </c>
      <c r="H17" s="18" t="n">
        <f aca="false">IS!H14/IS!H8</f>
        <v>0.134379935278425</v>
      </c>
      <c r="I17" s="18" t="n">
        <f aca="false">IS!I14/IS!I8</f>
        <v>0.141187145389437</v>
      </c>
      <c r="J17" s="18" t="n">
        <f aca="false">IS!J14/IS!J8</f>
        <v>0.139152151929264</v>
      </c>
      <c r="K17" s="19"/>
      <c r="L17" s="19"/>
      <c r="M17" s="19"/>
      <c r="N17" s="19"/>
      <c r="O17" s="19"/>
      <c r="P17" s="20" t="s">
        <v>101</v>
      </c>
    </row>
    <row r="18" customFormat="false" ht="15" hidden="false" customHeight="false" outlineLevel="0" collapsed="false">
      <c r="B18" s="4" t="s">
        <v>102</v>
      </c>
      <c r="C18" s="17" t="s">
        <v>85</v>
      </c>
      <c r="D18" s="18" t="n">
        <f aca="false">IS!D15/IS!D8</f>
        <v>0.0568499473571563</v>
      </c>
      <c r="E18" s="18" t="n">
        <f aca="false">IS!E15/IS!E8</f>
        <v>0.0561470187539292</v>
      </c>
      <c r="F18" s="18" t="n">
        <f aca="false">IS!F15/IS!F8</f>
        <v>0.0551683199995509</v>
      </c>
      <c r="G18" s="18" t="n">
        <f aca="false">IS!G15/IS!G8</f>
        <v>0.0877179141977585</v>
      </c>
      <c r="H18" s="18" t="n">
        <f aca="false">IS!H15/IS!H8</f>
        <v>0.0849802201360221</v>
      </c>
      <c r="I18" s="18" t="n">
        <f aca="false">IS!I15/IS!I8</f>
        <v>0.0973773219269998</v>
      </c>
      <c r="J18" s="18" t="n">
        <f aca="false">IS!J15/IS!J8</f>
        <v>0.0940301449957751</v>
      </c>
      <c r="K18" s="19"/>
      <c r="L18" s="19"/>
      <c r="M18" s="19"/>
      <c r="N18" s="19"/>
      <c r="O18" s="19"/>
      <c r="P18" s="20" t="s">
        <v>103</v>
      </c>
    </row>
    <row r="19" customFormat="false" ht="15" hidden="false" customHeight="false" outlineLevel="0" collapsed="false">
      <c r="B19" s="4" t="s">
        <v>104</v>
      </c>
      <c r="C19" s="17" t="s">
        <v>105</v>
      </c>
      <c r="D19" s="21" t="n">
        <f aca="false">IS!D16</f>
        <v>61.363</v>
      </c>
      <c r="E19" s="21" t="n">
        <f aca="false">IS!E16</f>
        <v>74.632</v>
      </c>
      <c r="F19" s="21" t="n">
        <f aca="false">IS!F16</f>
        <v>59.627</v>
      </c>
      <c r="G19" s="21" t="n">
        <f aca="false">IS!G16</f>
        <v>56.419</v>
      </c>
      <c r="H19" s="21" t="n">
        <f aca="false">IS!H16</f>
        <v>27.972</v>
      </c>
      <c r="I19" s="21" t="n">
        <f aca="false">IS!I16</f>
        <v>29.679</v>
      </c>
      <c r="K19" s="22"/>
      <c r="L19" s="22"/>
      <c r="M19" s="22"/>
      <c r="N19" s="22"/>
      <c r="O19" s="22"/>
      <c r="P19" s="20" t="s">
        <v>106</v>
      </c>
    </row>
    <row r="20" customFormat="false" ht="15" hidden="false" customHeight="false" outlineLevel="0" collapsed="false">
      <c r="B20" s="4" t="s">
        <v>107</v>
      </c>
      <c r="C20" s="17" t="s">
        <v>105</v>
      </c>
      <c r="D20" s="21" t="n">
        <f aca="false">IS!D33</f>
        <v>52.192</v>
      </c>
      <c r="E20" s="21" t="n">
        <f aca="false">IS!E33</f>
        <v>36.062</v>
      </c>
      <c r="F20" s="21" t="n">
        <f aca="false">IS!F33</f>
        <v>36.964</v>
      </c>
      <c r="G20" s="21" t="n">
        <f aca="false">IS!G33</f>
        <v>37.435</v>
      </c>
      <c r="H20" s="21" t="n">
        <f aca="false">IS!H33</f>
        <v>18.613</v>
      </c>
      <c r="I20" s="21" t="n">
        <f aca="false">IS!I33</f>
        <v>17.516</v>
      </c>
      <c r="K20" s="22"/>
      <c r="L20" s="22"/>
      <c r="M20" s="22"/>
      <c r="N20" s="22"/>
      <c r="O20" s="22"/>
      <c r="P20" s="20" t="s">
        <v>108</v>
      </c>
    </row>
    <row r="21" customFormat="false" ht="15" hidden="false" customHeight="false" outlineLevel="0" collapsed="false">
      <c r="B21" s="4" t="s">
        <v>109</v>
      </c>
      <c r="C21" s="17" t="s">
        <v>105</v>
      </c>
      <c r="D21" s="21" t="n">
        <f aca="false">IS!D34</f>
        <v>6.507</v>
      </c>
      <c r="E21" s="21" t="n">
        <f aca="false">IS!E34</f>
        <v>12.625</v>
      </c>
      <c r="F21" s="21" t="n">
        <f aca="false">IS!F34</f>
        <v>18.806</v>
      </c>
      <c r="G21" s="21" t="n">
        <f aca="false">IS!G34</f>
        <v>22.663</v>
      </c>
      <c r="H21" s="21" t="n">
        <f aca="false">IS!H34</f>
        <v>10.884</v>
      </c>
      <c r="I21" s="21" t="n">
        <f aca="false">IS!I34</f>
        <v>11.203</v>
      </c>
      <c r="K21" s="22"/>
      <c r="L21" s="22"/>
      <c r="M21" s="22"/>
      <c r="N21" s="22"/>
      <c r="O21" s="22"/>
      <c r="P21" s="20" t="s">
        <v>110</v>
      </c>
    </row>
    <row r="22" customFormat="false" ht="15" hidden="false" customHeight="false" outlineLevel="0" collapsed="false">
      <c r="B22" s="4" t="s">
        <v>111</v>
      </c>
      <c r="C22" s="17" t="s">
        <v>85</v>
      </c>
      <c r="D22" s="18" t="n">
        <f aca="false">IS!D35/IS!D8</f>
        <v>0.0210841615302961</v>
      </c>
      <c r="E22" s="18" t="n">
        <f aca="false">IS!E35/IS!E8</f>
        <v>0.015760207116584</v>
      </c>
      <c r="F22" s="18" t="n">
        <f aca="false">IS!F35/IS!F8</f>
        <v>0.0131162693662606</v>
      </c>
      <c r="G22" s="18" t="n">
        <f aca="false">IS!G35/IS!G8</f>
        <v>0.00936441513672964</v>
      </c>
      <c r="H22" s="18" t="n">
        <f aca="false">IS!H35/IS!H8</f>
        <v>0.00988045969885006</v>
      </c>
      <c r="I22" s="18" t="n">
        <f aca="false">IS!I35/IS!I8</f>
        <v>0.0130009637700332</v>
      </c>
      <c r="J22" s="18" t="n">
        <f aca="false">IS!J35/IS!J8</f>
        <v>0.0110015528940916</v>
      </c>
      <c r="K22" s="19"/>
      <c r="L22" s="19"/>
      <c r="M22" s="19"/>
      <c r="N22" s="19"/>
      <c r="O22" s="19"/>
      <c r="P22" s="20" t="s">
        <v>112</v>
      </c>
    </row>
    <row r="23" customFormat="false" ht="15" hidden="false" customHeight="false" outlineLevel="0" collapsed="false">
      <c r="B23" s="4" t="s">
        <v>113</v>
      </c>
      <c r="C23" s="17" t="s">
        <v>85</v>
      </c>
      <c r="D23" s="18" t="n">
        <f aca="false">CF!D11/IS!D8</f>
        <v>0.0556614297666636</v>
      </c>
      <c r="E23" s="18" t="n">
        <f aca="false">CF!E11/IS!E8</f>
        <v>0.0555081052859714</v>
      </c>
      <c r="F23" s="18" t="n">
        <f aca="false">CF!F11/IS!F8</f>
        <v>0.0574482307303339</v>
      </c>
      <c r="G23" s="18" t="n">
        <f aca="false">CF!G11/IS!G8</f>
        <v>0.0648601833351913</v>
      </c>
      <c r="H23" s="18" t="n">
        <f aca="false">CF!H11/IS!H8</f>
        <v>0.0654121910095911</v>
      </c>
      <c r="I23" s="18" t="n">
        <f aca="false">CF!I11/IS!I8</f>
        <v>0.0642150518155505</v>
      </c>
      <c r="J23" s="18" t="n">
        <f aca="false">CF!J11/IS!J8</f>
        <v>0.0642621571686868</v>
      </c>
      <c r="K23" s="19"/>
      <c r="L23" s="19"/>
      <c r="M23" s="19"/>
      <c r="N23" s="19"/>
      <c r="O23" s="19"/>
      <c r="P23" s="20" t="s">
        <v>114</v>
      </c>
    </row>
    <row r="24" customFormat="false" ht="15" hidden="false" customHeight="false" outlineLevel="0" collapsed="false">
      <c r="B24" s="4" t="s">
        <v>115</v>
      </c>
      <c r="C24" s="17" t="s">
        <v>85</v>
      </c>
      <c r="D24" s="18" t="n">
        <f aca="false">IS!D23/(IS!D22-IS!D20)</f>
        <v>0.124487587489938</v>
      </c>
      <c r="E24" s="18" t="n">
        <f aca="false">IS!E23/(IS!E22-IS!E20)</f>
        <v>0.163022861639662</v>
      </c>
      <c r="F24" s="18" t="n">
        <f aca="false">IS!F23/(IS!F22-IS!F20)</f>
        <v>0.146482264486463</v>
      </c>
      <c r="G24" s="18" t="n">
        <f aca="false">IS!G23/(IS!G22-IS!G20)</f>
        <v>0.191420841467726</v>
      </c>
      <c r="H24" s="18" t="n">
        <f aca="false">IS!H23/(IS!H22-IS!H20)</f>
        <v>0.16240400802819</v>
      </c>
      <c r="I24" s="18" t="n">
        <f aca="false">IS!I23/(IS!I22-IS!I20)</f>
        <v>0.25920645528576</v>
      </c>
      <c r="J24" s="18" t="n">
        <f aca="false">IS!J23/(IS!J22-IS!J20)</f>
        <v>0.240677278718443</v>
      </c>
      <c r="K24" s="19"/>
      <c r="L24" s="19"/>
      <c r="M24" s="19"/>
      <c r="N24" s="19"/>
      <c r="O24" s="19"/>
      <c r="P24" s="20" t="s">
        <v>116</v>
      </c>
    </row>
    <row r="25" customFormat="false" ht="15" hidden="false" customHeight="false" outlineLevel="0" collapsed="false">
      <c r="B25" s="4" t="s">
        <v>117</v>
      </c>
      <c r="C25" s="17" t="s">
        <v>85</v>
      </c>
      <c r="K25" s="23"/>
      <c r="L25" s="23"/>
      <c r="M25" s="23"/>
      <c r="N25" s="23"/>
      <c r="O25" s="23"/>
      <c r="P25" s="20" t="s">
        <v>118</v>
      </c>
    </row>
    <row r="26" customFormat="false" ht="15" hidden="false" customHeight="false" outlineLevel="0" collapsed="false">
      <c r="B26" s="6" t="s">
        <v>119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customFormat="false" ht="15" hidden="false" customHeight="false" outlineLevel="0" collapsed="false">
      <c r="B27" s="4" t="s">
        <v>120</v>
      </c>
      <c r="C27" s="17" t="s">
        <v>121</v>
      </c>
      <c r="D27" s="21" t="n">
        <f aca="false">'Revenue &amp; ARR build'!D27</f>
        <v>115.510354533878</v>
      </c>
      <c r="E27" s="21" t="n">
        <f aca="false">'Revenue &amp; ARR build'!E27</f>
        <v>117.572671923826</v>
      </c>
      <c r="F27" s="21" t="n">
        <f aca="false">'Revenue &amp; ARR build'!F27</f>
        <v>101.551571870748</v>
      </c>
      <c r="G27" s="21" t="n">
        <f aca="false">'Revenue &amp; ARR build'!G27</f>
        <v>100.902780040646</v>
      </c>
      <c r="K27" s="22"/>
      <c r="L27" s="22"/>
      <c r="M27" s="22"/>
      <c r="N27" s="22"/>
      <c r="O27" s="22"/>
      <c r="P27" s="20" t="s">
        <v>122</v>
      </c>
    </row>
    <row r="28" customFormat="false" ht="15" hidden="false" customHeight="false" outlineLevel="0" collapsed="false">
      <c r="B28" s="4" t="s">
        <v>123</v>
      </c>
      <c r="C28" s="17" t="s">
        <v>85</v>
      </c>
      <c r="D28" s="18" t="n">
        <f aca="false">(BS!D12+BS!D14)/IS!D8</f>
        <v>0.0319413426843743</v>
      </c>
      <c r="E28" s="18" t="n">
        <f aca="false">(BS!E12+BS!E14)/IS!E8</f>
        <v>0.0333049656436707</v>
      </c>
      <c r="F28" s="18" t="n">
        <f aca="false">(BS!F12+BS!F14)/IS!F8</f>
        <v>0.0342370180975516</v>
      </c>
      <c r="G28" s="18" t="n">
        <f aca="false">(BS!G12+BS!G14)/IS!G8</f>
        <v>0.0360762153030862</v>
      </c>
      <c r="K28" s="19"/>
      <c r="L28" s="19"/>
      <c r="M28" s="19"/>
      <c r="N28" s="19"/>
      <c r="O28" s="19"/>
      <c r="P28" s="20" t="s">
        <v>124</v>
      </c>
    </row>
    <row r="29" customFormat="false" ht="15" hidden="false" customHeight="false" outlineLevel="0" collapsed="false">
      <c r="B29" s="4" t="s">
        <v>125</v>
      </c>
      <c r="C29" s="17" t="s">
        <v>85</v>
      </c>
      <c r="D29" s="18" t="n">
        <f aca="false">BS!D26/IS!D8</f>
        <v>0.0566494289278372</v>
      </c>
      <c r="E29" s="18" t="n">
        <f aca="false">BS!E26/IS!E8</f>
        <v>0.0749783143444015</v>
      </c>
      <c r="F29" s="18" t="n">
        <f aca="false">BS!F26/IS!F8</f>
        <v>0.0733542800716437</v>
      </c>
      <c r="G29" s="18" t="n">
        <f aca="false">BS!G26/IS!G8</f>
        <v>0.074883164547193</v>
      </c>
      <c r="K29" s="19"/>
      <c r="L29" s="19"/>
      <c r="M29" s="19"/>
      <c r="N29" s="19"/>
      <c r="O29" s="19"/>
      <c r="P29" s="20" t="s">
        <v>126</v>
      </c>
    </row>
    <row r="30" customFormat="false" ht="15" hidden="false" customHeight="false" outlineLevel="0" collapsed="false">
      <c r="B30" s="4" t="s">
        <v>127</v>
      </c>
      <c r="C30" s="17" t="s">
        <v>85</v>
      </c>
      <c r="D30" s="18" t="n">
        <f aca="false">BS!D27/IS!D8</f>
        <v>0.071311595910505</v>
      </c>
      <c r="E30" s="18" t="n">
        <f aca="false">BS!E27/IS!E8</f>
        <v>0.0812388465536844</v>
      </c>
      <c r="F30" s="18" t="n">
        <f aca="false">BS!F27/IS!F8</f>
        <v>0.0924823288207567</v>
      </c>
      <c r="G30" s="18" t="n">
        <f aca="false">BS!G27/IS!G8</f>
        <v>0.081760377989487</v>
      </c>
      <c r="K30" s="19"/>
      <c r="L30" s="19"/>
      <c r="M30" s="19"/>
      <c r="N30" s="19"/>
      <c r="O30" s="19"/>
      <c r="P30" s="20" t="s">
        <v>128</v>
      </c>
    </row>
    <row r="31" customFormat="false" ht="15" hidden="false" customHeight="false" outlineLevel="0" collapsed="false">
      <c r="B31" s="4" t="s">
        <v>129</v>
      </c>
      <c r="C31" s="17" t="s">
        <v>85</v>
      </c>
      <c r="D31" s="24" t="n">
        <f aca="false">'Revenue &amp; ARR build'!D29</f>
        <v>0.633835053362334</v>
      </c>
      <c r="E31" s="24" t="n">
        <f aca="false">'Revenue &amp; ARR build'!E29</f>
        <v>0.636325979904247</v>
      </c>
      <c r="F31" s="24" t="n">
        <f aca="false">'Revenue &amp; ARR build'!F29</f>
        <v>0.633117642121073</v>
      </c>
      <c r="G31" s="24" t="n">
        <f aca="false">'Revenue &amp; ARR build'!G29</f>
        <v>0.638261280400333</v>
      </c>
      <c r="K31" s="19"/>
      <c r="L31" s="19"/>
      <c r="M31" s="19"/>
      <c r="N31" s="19"/>
      <c r="O31" s="19"/>
      <c r="P31" s="20" t="s">
        <v>130</v>
      </c>
    </row>
    <row r="32" customFormat="false" ht="15" hidden="false" customHeight="false" outlineLevel="0" collapsed="false">
      <c r="B32" s="6" t="s">
        <v>131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customFormat="false" ht="15" hidden="false" customHeight="false" outlineLevel="0" collapsed="false">
      <c r="B33" s="4" t="s">
        <v>132</v>
      </c>
      <c r="C33" s="17" t="s">
        <v>85</v>
      </c>
      <c r="D33" s="25" t="n">
        <f aca="false">-CF!D28/IS!D8</f>
        <v>0.0121764951324286</v>
      </c>
      <c r="E33" s="25" t="n">
        <f aca="false">-CF!E28/IS!E8</f>
        <v>0.0105131238564755</v>
      </c>
      <c r="F33" s="25" t="n">
        <f aca="false">-CF!F28/IS!F8</f>
        <v>0.00960565590000575</v>
      </c>
      <c r="G33" s="25" t="n">
        <f aca="false">-CF!G28/IS!G8</f>
        <v>0.00686649459341262</v>
      </c>
      <c r="H33" s="25" t="n">
        <f aca="false">-CF!H28/IS!H8</f>
        <v>0.00673565938333669</v>
      </c>
      <c r="I33" s="25" t="n">
        <f aca="false">-CF!I28/IS!I8</f>
        <v>0.00658509978158254</v>
      </c>
      <c r="J33" s="25" t="n">
        <f aca="false">-CF!J28/IS!J8</f>
        <v>0.00678326199953327</v>
      </c>
      <c r="K33" s="23"/>
      <c r="L33" s="23"/>
      <c r="M33" s="23"/>
      <c r="N33" s="23"/>
      <c r="O33" s="23"/>
      <c r="P33" s="20" t="s">
        <v>133</v>
      </c>
    </row>
    <row r="34" customFormat="false" ht="15" hidden="false" customHeight="false" outlineLevel="0" collapsed="false">
      <c r="B34" s="4" t="s">
        <v>134</v>
      </c>
      <c r="C34" s="17" t="s">
        <v>105</v>
      </c>
      <c r="D34" s="21" t="n">
        <f aca="false">-CF!D29</f>
        <v>27.622</v>
      </c>
      <c r="E34" s="21" t="n">
        <f aca="false">-CF!E29</f>
        <v>32.49</v>
      </c>
      <c r="F34" s="21" t="n">
        <f aca="false">-CF!F29</f>
        <v>29.401</v>
      </c>
      <c r="G34" s="21" t="n">
        <f aca="false">-CF!G29</f>
        <v>16.778</v>
      </c>
      <c r="H34" s="21" t="n">
        <f aca="false">-CF!H29</f>
        <v>10.4</v>
      </c>
      <c r="I34" s="21" t="n">
        <f aca="false">-CF!I29</f>
        <v>2.105</v>
      </c>
      <c r="K34" s="22"/>
      <c r="L34" s="22"/>
      <c r="M34" s="22"/>
      <c r="N34" s="22"/>
      <c r="O34" s="22"/>
      <c r="P34" s="20" t="s">
        <v>135</v>
      </c>
    </row>
    <row r="35" customFormat="false" ht="15" hidden="false" customHeight="false" outlineLevel="0" collapsed="false">
      <c r="B35" s="4" t="s">
        <v>136</v>
      </c>
      <c r="C35" s="17" t="s">
        <v>105</v>
      </c>
      <c r="D35" s="21" t="n">
        <f aca="false">-CF!D30</f>
        <v>163.921</v>
      </c>
      <c r="E35" s="21" t="n">
        <f aca="false">-CF!E30</f>
        <v>62.759</v>
      </c>
      <c r="F35" s="21" t="n">
        <f aca="false">-CF!F30</f>
        <v>1.395</v>
      </c>
      <c r="G35" s="21" t="n">
        <f aca="false">-CF!G30</f>
        <v>83.652</v>
      </c>
      <c r="H35" s="21" t="n">
        <f aca="false">-CF!H30</f>
        <v>18.23</v>
      </c>
      <c r="I35" s="21" t="n">
        <f aca="false">-CF!I30</f>
        <v>214.291</v>
      </c>
      <c r="K35" s="22"/>
      <c r="L35" s="22"/>
      <c r="M35" s="22"/>
      <c r="N35" s="22"/>
      <c r="O35" s="22"/>
      <c r="P35" s="20" t="s">
        <v>137</v>
      </c>
    </row>
    <row r="36" customFormat="false" ht="15" hidden="false" customHeight="false" outlineLevel="0" collapsed="false">
      <c r="B36" s="6" t="s">
        <v>138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customFormat="false" ht="15" hidden="false" customHeight="false" outlineLevel="0" collapsed="false">
      <c r="B37" s="4" t="s">
        <v>139</v>
      </c>
      <c r="C37" s="17" t="s">
        <v>105</v>
      </c>
      <c r="D37" s="21" t="n">
        <f aca="false">-CF!D39</f>
        <v>-0</v>
      </c>
      <c r="E37" s="21" t="n">
        <f aca="false">-CF!E39</f>
        <v>-0</v>
      </c>
      <c r="F37" s="21" t="n">
        <f aca="false">-CF!F39</f>
        <v>-0</v>
      </c>
      <c r="G37" s="21" t="n">
        <f aca="false">-CF!G39</f>
        <v>174.65</v>
      </c>
      <c r="H37" s="21" t="n">
        <f aca="false">-CF!H39</f>
        <v>1.605</v>
      </c>
      <c r="I37" s="21" t="n">
        <f aca="false">-CF!I39</f>
        <v>755.005</v>
      </c>
      <c r="K37" s="22"/>
      <c r="L37" s="22"/>
      <c r="M37" s="22"/>
      <c r="N37" s="22"/>
      <c r="O37" s="22"/>
      <c r="P37" s="20" t="s">
        <v>140</v>
      </c>
    </row>
    <row r="38" customFormat="false" ht="15" hidden="false" customHeight="false" outlineLevel="0" collapsed="false">
      <c r="B38" s="4" t="s">
        <v>141</v>
      </c>
      <c r="C38" s="17" t="s">
        <v>142</v>
      </c>
      <c r="I38" s="26" t="n">
        <f aca="false">-CF!I39/I39</f>
        <v>344.693220499934</v>
      </c>
      <c r="K38" s="27"/>
      <c r="L38" s="27"/>
      <c r="M38" s="27"/>
      <c r="N38" s="27"/>
      <c r="O38" s="27"/>
      <c r="P38" s="20" t="s">
        <v>143</v>
      </c>
    </row>
    <row r="39" customFormat="false" ht="15" hidden="false" customHeight="false" outlineLevel="0" collapsed="false">
      <c r="B39" s="4" t="s">
        <v>144</v>
      </c>
      <c r="C39" s="17" t="s">
        <v>145</v>
      </c>
      <c r="I39" s="28" t="n">
        <v>2.190368</v>
      </c>
      <c r="K39" s="29"/>
      <c r="L39" s="29"/>
      <c r="M39" s="29"/>
      <c r="N39" s="29"/>
      <c r="O39" s="29"/>
      <c r="P39" s="20" t="s">
        <v>146</v>
      </c>
    </row>
    <row r="40" customFormat="false" ht="15" hidden="false" customHeight="false" outlineLevel="0" collapsed="false">
      <c r="B40" s="4" t="s">
        <v>147</v>
      </c>
      <c r="C40" s="17" t="s">
        <v>145</v>
      </c>
      <c r="K40" s="29"/>
      <c r="L40" s="29"/>
      <c r="M40" s="29"/>
      <c r="N40" s="29"/>
      <c r="O40" s="29"/>
      <c r="P40" s="20" t="s">
        <v>148</v>
      </c>
    </row>
    <row r="41" customFormat="false" ht="15" hidden="false" customHeight="false" outlineLevel="0" collapsed="false">
      <c r="B41" s="4" t="s">
        <v>149</v>
      </c>
      <c r="C41" s="17" t="s">
        <v>105</v>
      </c>
      <c r="D41" s="21" t="n">
        <f aca="false">CF!D41</f>
        <v>16.651</v>
      </c>
      <c r="E41" s="21" t="n">
        <f aca="false">CF!E41</f>
        <v>16.196</v>
      </c>
      <c r="F41" s="21" t="n">
        <f aca="false">CF!F41</f>
        <v>17.631</v>
      </c>
      <c r="G41" s="21" t="n">
        <f aca="false">CF!G41</f>
        <v>18.848</v>
      </c>
      <c r="H41" s="21" t="n">
        <f aca="false">CF!H41</f>
        <v>9.322</v>
      </c>
      <c r="I41" s="21" t="n">
        <f aca="false">CF!I41</f>
        <v>9.178</v>
      </c>
      <c r="K41" s="22"/>
      <c r="L41" s="22"/>
      <c r="M41" s="22"/>
      <c r="N41" s="22"/>
      <c r="O41" s="22"/>
      <c r="P41" s="20" t="s">
        <v>150</v>
      </c>
    </row>
    <row r="42" customFormat="false" ht="15" hidden="false" customHeight="false" outlineLevel="0" collapsed="false">
      <c r="B42" s="4" t="s">
        <v>151</v>
      </c>
      <c r="C42" s="17" t="s">
        <v>105</v>
      </c>
      <c r="D42" s="21" t="n">
        <f aca="false">CF!D40</f>
        <v>-0.89</v>
      </c>
      <c r="E42" s="21" t="n">
        <f aca="false">CF!E40</f>
        <v>16.96</v>
      </c>
      <c r="F42" s="21" t="n">
        <f aca="false">CF!F40</f>
        <v>57.213</v>
      </c>
      <c r="G42" s="21" t="n">
        <f aca="false">CF!G40</f>
        <v>3.144</v>
      </c>
      <c r="H42" s="21" t="n">
        <f aca="false">CF!H40</f>
        <v>-3.155</v>
      </c>
      <c r="I42" s="21" t="n">
        <f aca="false">CF!I40</f>
        <v>-22.134</v>
      </c>
      <c r="K42" s="22"/>
      <c r="L42" s="22"/>
      <c r="M42" s="22"/>
      <c r="N42" s="22"/>
      <c r="O42" s="22"/>
      <c r="P42" s="20" t="s">
        <v>152</v>
      </c>
    </row>
    <row r="43" customFormat="false" ht="15" hidden="false" customHeight="false" outlineLevel="0" collapsed="false">
      <c r="B43" s="4" t="s">
        <v>153</v>
      </c>
      <c r="C43" s="17" t="s">
        <v>105</v>
      </c>
      <c r="K43" s="22"/>
      <c r="L43" s="22"/>
      <c r="M43" s="22"/>
      <c r="N43" s="22"/>
      <c r="O43" s="22"/>
      <c r="P43" s="20" t="s">
        <v>154</v>
      </c>
    </row>
    <row r="44" customFormat="false" ht="15" hidden="false" customHeight="false" outlineLevel="0" collapsed="false">
      <c r="B44" s="4" t="s">
        <v>155</v>
      </c>
      <c r="C44" s="17" t="s">
        <v>85</v>
      </c>
      <c r="K44" s="23"/>
      <c r="L44" s="23"/>
      <c r="M44" s="23"/>
      <c r="N44" s="23"/>
      <c r="O44" s="23"/>
      <c r="P44" s="20" t="s">
        <v>156</v>
      </c>
    </row>
    <row r="45" customFormat="false" ht="15" hidden="false" customHeight="false" outlineLevel="0" collapsed="false">
      <c r="B45" s="4" t="s">
        <v>157</v>
      </c>
      <c r="C45" s="17" t="s">
        <v>85</v>
      </c>
      <c r="K45" s="23"/>
      <c r="L45" s="23"/>
      <c r="M45" s="23"/>
      <c r="N45" s="23"/>
      <c r="O45" s="23"/>
      <c r="P45" s="20" t="s">
        <v>158</v>
      </c>
    </row>
    <row r="46" customFormat="false" ht="15" hidden="false" customHeight="false" outlineLevel="0" collapsed="false">
      <c r="B46" s="4" t="s">
        <v>159</v>
      </c>
      <c r="C46" s="17" t="s">
        <v>85</v>
      </c>
      <c r="K46" s="23"/>
      <c r="L46" s="23"/>
      <c r="M46" s="23"/>
      <c r="N46" s="23"/>
      <c r="O46" s="23"/>
      <c r="P46" s="20" t="s">
        <v>160</v>
      </c>
    </row>
    <row r="48" customFormat="false" ht="15" hidden="false" customHeight="false" outlineLevel="0" collapsed="false">
      <c r="B48" s="6" t="s">
        <v>161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customFormat="false" ht="15" hidden="false" customHeight="false" outlineLevel="0" collapsed="false">
      <c r="B49" s="4" t="s">
        <v>162</v>
      </c>
      <c r="C49" s="17" t="s">
        <v>142</v>
      </c>
      <c r="D49" s="30" t="n">
        <v>329.55</v>
      </c>
      <c r="E49" s="17" t="s">
        <v>163</v>
      </c>
    </row>
    <row r="50" customFormat="false" ht="15" hidden="false" customHeight="false" outlineLevel="0" collapsed="false">
      <c r="B50" s="4" t="s">
        <v>164</v>
      </c>
      <c r="C50" s="17" t="s">
        <v>142</v>
      </c>
      <c r="D50" s="30" t="n">
        <v>524.43</v>
      </c>
      <c r="E50" s="17" t="s">
        <v>165</v>
      </c>
    </row>
    <row r="51" customFormat="false" ht="15" hidden="false" customHeight="false" outlineLevel="0" collapsed="false">
      <c r="B51" s="4" t="s">
        <v>166</v>
      </c>
      <c r="C51" s="17" t="s">
        <v>142</v>
      </c>
      <c r="D51" s="30" t="n">
        <v>270.71</v>
      </c>
      <c r="E51" s="17" t="s">
        <v>165</v>
      </c>
    </row>
    <row r="52" customFormat="false" ht="15" hidden="false" customHeight="false" outlineLevel="0" collapsed="false">
      <c r="B52" s="4" t="s">
        <v>167</v>
      </c>
      <c r="C52" s="17" t="s">
        <v>145</v>
      </c>
      <c r="D52" s="28" t="n">
        <v>40.952274</v>
      </c>
      <c r="E52" s="17" t="s">
        <v>168</v>
      </c>
    </row>
    <row r="53" customFormat="false" ht="15" hidden="false" customHeight="false" outlineLevel="0" collapsed="false">
      <c r="B53" s="4" t="s">
        <v>169</v>
      </c>
      <c r="C53" s="17" t="s">
        <v>145</v>
      </c>
      <c r="D53" s="31" t="n">
        <v>0.289</v>
      </c>
      <c r="E53" s="17" t="s">
        <v>170</v>
      </c>
    </row>
    <row r="54" customFormat="false" ht="15" hidden="false" customHeight="false" outlineLevel="0" collapsed="false">
      <c r="B54" s="4" t="s">
        <v>171</v>
      </c>
      <c r="C54" s="17" t="s">
        <v>105</v>
      </c>
      <c r="D54" s="32" t="n">
        <v>970.035</v>
      </c>
      <c r="E54" s="17" t="s">
        <v>172</v>
      </c>
    </row>
    <row r="55" customFormat="false" ht="15" hidden="false" customHeight="false" outlineLevel="0" collapsed="false">
      <c r="B55" s="4" t="s">
        <v>173</v>
      </c>
      <c r="C55" s="17" t="s">
        <v>105</v>
      </c>
      <c r="D55" s="32" t="n">
        <v>1437.5</v>
      </c>
      <c r="E55" s="17" t="s">
        <v>174</v>
      </c>
    </row>
    <row r="56" customFormat="false" ht="15" hidden="false" customHeight="false" outlineLevel="0" collapsed="false">
      <c r="B56" s="4" t="s">
        <v>175</v>
      </c>
      <c r="C56" s="17" t="s">
        <v>105</v>
      </c>
      <c r="D56" s="32" t="n">
        <v>45.232</v>
      </c>
      <c r="E56" s="17" t="s">
        <v>176</v>
      </c>
    </row>
    <row r="57" customFormat="false" ht="15" hidden="false" customHeight="false" outlineLevel="0" collapsed="false">
      <c r="B57" s="4" t="s">
        <v>177</v>
      </c>
      <c r="C57" s="17" t="s">
        <v>142</v>
      </c>
      <c r="D57" s="30" t="n">
        <v>0</v>
      </c>
      <c r="E57" s="17" t="s">
        <v>178</v>
      </c>
    </row>
    <row r="58" customFormat="false" ht="15" hidden="false" customHeight="false" outlineLevel="0" collapsed="false">
      <c r="B58" s="4" t="s">
        <v>179</v>
      </c>
      <c r="C58" s="17" t="s">
        <v>85</v>
      </c>
      <c r="D58" s="33" t="n">
        <v>0.0524</v>
      </c>
      <c r="E58" s="17" t="s">
        <v>180</v>
      </c>
    </row>
    <row r="59" customFormat="false" ht="15" hidden="false" customHeight="false" outlineLevel="0" collapsed="false">
      <c r="B59" s="4" t="s">
        <v>181</v>
      </c>
      <c r="C59" s="17" t="s">
        <v>85</v>
      </c>
      <c r="D59" s="33" t="n">
        <v>0.042</v>
      </c>
      <c r="E59" s="17" t="s">
        <v>182</v>
      </c>
    </row>
    <row r="60" customFormat="false" ht="15" hidden="false" customHeight="false" outlineLevel="0" collapsed="false">
      <c r="B60" s="4" t="s">
        <v>183</v>
      </c>
      <c r="C60" s="17" t="s">
        <v>85</v>
      </c>
      <c r="D60" s="33" t="n">
        <v>0.055</v>
      </c>
      <c r="E60" s="17" t="s">
        <v>184</v>
      </c>
    </row>
    <row r="61" customFormat="false" ht="15" hidden="false" customHeight="false" outlineLevel="0" collapsed="false">
      <c r="B61" s="4" t="s">
        <v>185</v>
      </c>
      <c r="C61" s="17" t="s">
        <v>85</v>
      </c>
      <c r="D61" s="34" t="n">
        <v>0.25</v>
      </c>
      <c r="E61" s="17" t="s">
        <v>186</v>
      </c>
    </row>
    <row r="62" customFormat="false" ht="15" hidden="false" customHeight="false" outlineLevel="0" collapsed="false">
      <c r="B62" s="4" t="s">
        <v>187</v>
      </c>
      <c r="C62" s="17" t="s">
        <v>85</v>
      </c>
      <c r="D62" s="23"/>
      <c r="E62" s="17" t="s">
        <v>188</v>
      </c>
    </row>
    <row r="63" customFormat="false" ht="15" hidden="false" customHeight="false" outlineLevel="0" collapsed="false">
      <c r="B63" s="4" t="s">
        <v>189</v>
      </c>
      <c r="C63" s="17" t="s">
        <v>190</v>
      </c>
      <c r="D63" s="35"/>
      <c r="E63" s="17" t="s">
        <v>188</v>
      </c>
    </row>
    <row r="64" customFormat="false" ht="15" hidden="false" customHeight="false" outlineLevel="0" collapsed="false">
      <c r="B64" s="4" t="s">
        <v>191</v>
      </c>
      <c r="C64" s="17" t="s">
        <v>85</v>
      </c>
      <c r="D64" s="33" t="n">
        <v>0.04</v>
      </c>
      <c r="E64" s="17" t="s">
        <v>192</v>
      </c>
    </row>
    <row r="66" customFormat="false" ht="15" hidden="false" customHeight="false" outlineLevel="0" collapsed="false">
      <c r="B66" s="6" t="s">
        <v>193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customFormat="false" ht="15" hidden="false" customHeight="false" outlineLevel="0" collapsed="false">
      <c r="B67" s="4" t="s">
        <v>194</v>
      </c>
      <c r="C67" s="17" t="s">
        <v>85</v>
      </c>
      <c r="D67" s="33" t="n">
        <v>0.005</v>
      </c>
      <c r="E67" s="17" t="s">
        <v>195</v>
      </c>
    </row>
    <row r="68" customFormat="false" ht="15" hidden="false" customHeight="false" outlineLevel="0" collapsed="false">
      <c r="B68" s="4" t="s">
        <v>196</v>
      </c>
      <c r="C68" s="17" t="s">
        <v>142</v>
      </c>
      <c r="D68" s="30" t="n">
        <v>405.94</v>
      </c>
      <c r="E68" s="17" t="s">
        <v>197</v>
      </c>
    </row>
    <row r="69" customFormat="false" ht="15" hidden="false" customHeight="false" outlineLevel="0" collapsed="false">
      <c r="B69" s="4" t="s">
        <v>198</v>
      </c>
      <c r="C69" s="17" t="s">
        <v>142</v>
      </c>
      <c r="D69" s="30" t="n">
        <v>655.77</v>
      </c>
      <c r="E69" s="17" t="s">
        <v>199</v>
      </c>
    </row>
    <row r="70" customFormat="false" ht="15" hidden="false" customHeight="false" outlineLevel="0" collapsed="false">
      <c r="B70" s="4" t="s">
        <v>200</v>
      </c>
      <c r="C70" s="17" t="s">
        <v>145</v>
      </c>
      <c r="D70" s="36" t="n">
        <f aca="false">1437.5/$D$68</f>
        <v>3.54116371877617</v>
      </c>
      <c r="E70" s="17" t="s">
        <v>201</v>
      </c>
    </row>
    <row r="71" customFormat="false" ht="15" hidden="false" customHeight="false" outlineLevel="0" collapsed="false">
      <c r="B71" s="4" t="s">
        <v>202</v>
      </c>
      <c r="C71" s="17" t="s">
        <v>105</v>
      </c>
      <c r="D71" s="32" t="n">
        <v>29.4</v>
      </c>
      <c r="E71" s="17" t="s">
        <v>203</v>
      </c>
    </row>
    <row r="72" customFormat="false" ht="15" hidden="false" customHeight="false" outlineLevel="0" collapsed="false">
      <c r="B72" s="4" t="s">
        <v>204</v>
      </c>
      <c r="C72" s="17" t="s">
        <v>105</v>
      </c>
      <c r="D72" s="32" t="n">
        <v>28.809</v>
      </c>
      <c r="E72" s="17" t="s">
        <v>205</v>
      </c>
    </row>
    <row r="73" customFormat="false" ht="15" hidden="false" customHeight="false" outlineLevel="0" collapsed="false">
      <c r="B73" s="4" t="s">
        <v>206</v>
      </c>
      <c r="C73" s="17" t="s">
        <v>207</v>
      </c>
      <c r="D73" s="37" t="n">
        <f aca="false">(DATE(2031,7,15)-DATE(2026,6,30))/365.25</f>
        <v>5.0403832991102</v>
      </c>
      <c r="E73" s="17" t="s">
        <v>208</v>
      </c>
    </row>
  </sheetData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IC Simulator · Tyler Technologies (TYL) · Advanced · Practice use only ·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P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3" min="3" style="0" width="9"/>
    <col collapsed="false" customWidth="true" hidden="false" outlineLevel="0" max="15" min="4" style="0" width="11.5"/>
    <col collapsed="false" customWidth="true" hidden="false" outlineLevel="0" max="16" min="16" style="0" width="70"/>
  </cols>
  <sheetData>
    <row r="1" customFormat="false" ht="17.35" hidden="false" customHeight="false" outlineLevel="0" collapsed="false">
      <c r="B1" s="9" t="s">
        <v>209</v>
      </c>
    </row>
    <row r="2" customFormat="false" ht="15" hidden="false" customHeight="false" outlineLevel="0" collapsed="false">
      <c r="B2" s="10" t="s">
        <v>210</v>
      </c>
    </row>
    <row r="4" customFormat="false" ht="15" hidden="false" customHeight="false" outlineLevel="0" collapsed="false">
      <c r="B4" s="11" t="s">
        <v>67</v>
      </c>
      <c r="C4" s="11" t="s">
        <v>12</v>
      </c>
      <c r="D4" s="12" t="s">
        <v>68</v>
      </c>
      <c r="E4" s="12" t="s">
        <v>69</v>
      </c>
      <c r="F4" s="12" t="s">
        <v>70</v>
      </c>
      <c r="G4" s="12" t="s">
        <v>71</v>
      </c>
      <c r="H4" s="12" t="s">
        <v>72</v>
      </c>
      <c r="I4" s="12" t="s">
        <v>73</v>
      </c>
      <c r="J4" s="12" t="s">
        <v>74</v>
      </c>
      <c r="K4" s="12" t="s">
        <v>75</v>
      </c>
      <c r="L4" s="12" t="s">
        <v>76</v>
      </c>
      <c r="M4" s="12" t="s">
        <v>77</v>
      </c>
      <c r="N4" s="12" t="s">
        <v>78</v>
      </c>
      <c r="O4" s="12" t="s">
        <v>79</v>
      </c>
      <c r="P4" s="11" t="s">
        <v>80</v>
      </c>
    </row>
    <row r="5" customFormat="false" ht="15" hidden="false" customHeight="false" outlineLevel="0" collapsed="false">
      <c r="B5" s="13" t="s">
        <v>81</v>
      </c>
      <c r="C5" s="14"/>
      <c r="D5" s="15" t="n">
        <v>44926</v>
      </c>
      <c r="E5" s="15" t="n">
        <v>45291</v>
      </c>
      <c r="F5" s="15" t="n">
        <v>45657</v>
      </c>
      <c r="G5" s="15" t="n">
        <v>46022</v>
      </c>
      <c r="H5" s="15" t="n">
        <v>45838</v>
      </c>
      <c r="I5" s="15" t="n">
        <v>46203</v>
      </c>
      <c r="J5" s="15" t="n">
        <v>46203</v>
      </c>
      <c r="K5" s="15" t="n">
        <v>46387</v>
      </c>
      <c r="L5" s="15" t="n">
        <v>46752</v>
      </c>
      <c r="M5" s="15" t="n">
        <v>47118</v>
      </c>
      <c r="N5" s="15" t="n">
        <v>47483</v>
      </c>
      <c r="O5" s="15" t="n">
        <v>47848</v>
      </c>
      <c r="P5" s="14"/>
    </row>
    <row r="6" customFormat="false" ht="15" hidden="false" customHeight="false" outlineLevel="0" collapsed="false">
      <c r="B6" s="13" t="s">
        <v>82</v>
      </c>
      <c r="C6" s="14"/>
      <c r="D6" s="16" t="n">
        <v>52</v>
      </c>
      <c r="E6" s="16" t="n">
        <v>52</v>
      </c>
      <c r="F6" s="16" t="n">
        <v>52</v>
      </c>
      <c r="G6" s="16" t="n">
        <v>52</v>
      </c>
      <c r="H6" s="16" t="n">
        <v>26</v>
      </c>
      <c r="I6" s="16" t="n">
        <v>26</v>
      </c>
      <c r="J6" s="16" t="n">
        <v>52</v>
      </c>
      <c r="K6" s="16" t="n">
        <v>52</v>
      </c>
      <c r="L6" s="16" t="n">
        <v>52</v>
      </c>
      <c r="M6" s="16" t="n">
        <v>52</v>
      </c>
      <c r="N6" s="16" t="n">
        <v>52</v>
      </c>
      <c r="O6" s="16" t="n">
        <v>52</v>
      </c>
      <c r="P6" s="14"/>
    </row>
    <row r="8" customFormat="false" ht="15" hidden="false" customHeight="false" outlineLevel="0" collapsed="false">
      <c r="B8" s="6" t="s">
        <v>211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customFormat="false" ht="15" hidden="false" customHeight="false" outlineLevel="0" collapsed="false">
      <c r="B9" s="4" t="s">
        <v>212</v>
      </c>
      <c r="C9" s="17" t="s">
        <v>105</v>
      </c>
      <c r="D9" s="32" t="n">
        <v>428.526</v>
      </c>
      <c r="E9" s="32" t="n">
        <v>527.977</v>
      </c>
      <c r="F9" s="32" t="n">
        <v>644.779</v>
      </c>
      <c r="G9" s="32" t="n">
        <v>777.769</v>
      </c>
      <c r="H9" s="32" t="n">
        <v>369.651</v>
      </c>
      <c r="I9" s="32" t="n">
        <v>452.997</v>
      </c>
      <c r="J9" s="38" t="n">
        <f aca="false">G9+I9-H9</f>
        <v>861.115</v>
      </c>
      <c r="K9" s="22"/>
      <c r="L9" s="22"/>
      <c r="M9" s="22"/>
      <c r="N9" s="22"/>
      <c r="O9" s="22"/>
      <c r="P9" s="20" t="s">
        <v>213</v>
      </c>
    </row>
    <row r="10" customFormat="false" ht="15" hidden="false" customHeight="false" outlineLevel="0" collapsed="false">
      <c r="B10" s="4" t="s">
        <v>214</v>
      </c>
      <c r="C10" s="17" t="s">
        <v>105</v>
      </c>
      <c r="D10" s="32" t="n">
        <v>583.778</v>
      </c>
      <c r="E10" s="32" t="n">
        <v>631.535</v>
      </c>
      <c r="F10" s="32" t="n">
        <v>698.152</v>
      </c>
      <c r="G10" s="32" t="n">
        <v>808.434</v>
      </c>
      <c r="H10" s="32" t="n">
        <v>410.413</v>
      </c>
      <c r="I10" s="32" t="n">
        <v>430.472</v>
      </c>
      <c r="J10" s="38" t="n">
        <f aca="false">G10+I10-H10</f>
        <v>828.493</v>
      </c>
      <c r="K10" s="22"/>
      <c r="L10" s="22"/>
      <c r="M10" s="22"/>
      <c r="N10" s="22"/>
      <c r="O10" s="22"/>
      <c r="P10" s="20" t="s">
        <v>215</v>
      </c>
    </row>
    <row r="11" customFormat="false" ht="15" hidden="false" customHeight="false" outlineLevel="0" collapsed="false">
      <c r="B11" s="4" t="s">
        <v>216</v>
      </c>
      <c r="C11" s="17" t="s">
        <v>105</v>
      </c>
      <c r="D11" s="32" t="n">
        <v>468.455</v>
      </c>
      <c r="E11" s="32" t="n">
        <v>466.661</v>
      </c>
      <c r="F11" s="32" t="n">
        <v>463.132</v>
      </c>
      <c r="G11" s="32" t="n">
        <v>445.614</v>
      </c>
      <c r="H11" s="32" t="n">
        <v>224.924</v>
      </c>
      <c r="I11" s="32" t="n">
        <v>214.684</v>
      </c>
      <c r="J11" s="38" t="n">
        <f aca="false">G11+I11-H11</f>
        <v>435.374</v>
      </c>
      <c r="K11" s="22"/>
      <c r="L11" s="22"/>
      <c r="M11" s="22"/>
      <c r="N11" s="22"/>
      <c r="O11" s="22"/>
    </row>
    <row r="12" customFormat="false" ht="15" hidden="false" customHeight="false" outlineLevel="0" collapsed="false">
      <c r="B12" s="4" t="s">
        <v>217</v>
      </c>
      <c r="C12" s="17" t="s">
        <v>105</v>
      </c>
      <c r="D12" s="32" t="n">
        <v>277.625</v>
      </c>
      <c r="E12" s="32" t="n">
        <v>249.976</v>
      </c>
      <c r="F12" s="32" t="n">
        <v>263.991</v>
      </c>
      <c r="G12" s="32" t="n">
        <v>242.7</v>
      </c>
      <c r="H12" s="32" t="n">
        <v>122.662</v>
      </c>
      <c r="I12" s="32" t="n">
        <v>123.973</v>
      </c>
      <c r="J12" s="38" t="n">
        <f aca="false">G12+I12-H12</f>
        <v>244.011</v>
      </c>
      <c r="K12" s="22"/>
      <c r="L12" s="22"/>
      <c r="M12" s="22"/>
      <c r="N12" s="22"/>
      <c r="O12" s="22"/>
    </row>
    <row r="13" customFormat="false" ht="15" hidden="false" customHeight="false" outlineLevel="0" collapsed="false">
      <c r="B13" s="4" t="s">
        <v>218</v>
      </c>
      <c r="C13" s="17" t="s">
        <v>105</v>
      </c>
      <c r="D13" s="32" t="n">
        <v>91.82</v>
      </c>
      <c r="E13" s="32" t="n">
        <v>75.602</v>
      </c>
      <c r="F13" s="32" t="n">
        <v>67.749</v>
      </c>
      <c r="G13" s="32" t="n">
        <v>57.823</v>
      </c>
      <c r="H13" s="32" t="n">
        <v>33.632</v>
      </c>
      <c r="I13" s="32" t="n">
        <v>36.473</v>
      </c>
      <c r="J13" s="38" t="n">
        <f aca="false">G13+I13-H13</f>
        <v>60.664</v>
      </c>
      <c r="K13" s="22"/>
      <c r="L13" s="22"/>
      <c r="M13" s="22"/>
      <c r="N13" s="22"/>
      <c r="O13" s="22"/>
      <c r="P13" s="20" t="s">
        <v>219</v>
      </c>
    </row>
    <row r="14" customFormat="false" ht="15" hidden="false" customHeight="false" outlineLevel="0" collapsed="false">
      <c r="B14" s="39" t="s">
        <v>220</v>
      </c>
      <c r="C14" s="40" t="s">
        <v>105</v>
      </c>
      <c r="D14" s="41" t="n">
        <f aca="false">SUM(D9:D13)</f>
        <v>1850.204</v>
      </c>
      <c r="E14" s="41" t="n">
        <f aca="false">SUM(E9:E13)</f>
        <v>1951.751</v>
      </c>
      <c r="F14" s="41" t="n">
        <f aca="false">SUM(F9:F13)</f>
        <v>2137.803</v>
      </c>
      <c r="G14" s="41" t="n">
        <f aca="false">SUM(G9:G13)</f>
        <v>2332.34</v>
      </c>
      <c r="H14" s="41" t="n">
        <f aca="false">SUM(H9:H13)</f>
        <v>1161.282</v>
      </c>
      <c r="I14" s="41" t="n">
        <f aca="false">SUM(I9:I13)</f>
        <v>1258.599</v>
      </c>
      <c r="J14" s="41" t="n">
        <f aca="false">SUM(J9:J13)</f>
        <v>2429.657</v>
      </c>
      <c r="K14" s="42"/>
      <c r="L14" s="42"/>
      <c r="M14" s="42"/>
      <c r="N14" s="42"/>
      <c r="O14" s="42"/>
    </row>
    <row r="15" customFormat="false" ht="15" hidden="false" customHeight="false" outlineLevel="0" collapsed="false">
      <c r="B15" s="4" t="s">
        <v>221</v>
      </c>
      <c r="C15" s="17" t="s">
        <v>85</v>
      </c>
      <c r="E15" s="18" t="n">
        <f aca="false">E14/D14-1</f>
        <v>0.0548842181726987</v>
      </c>
      <c r="F15" s="18" t="n">
        <f aca="false">F14/E14-1</f>
        <v>0.09532568447512</v>
      </c>
      <c r="G15" s="18" t="n">
        <f aca="false">G14/F14-1</f>
        <v>0.0909985625429473</v>
      </c>
      <c r="I15" s="18" t="n">
        <f aca="false">I14/H14-1</f>
        <v>0.0838013505763458</v>
      </c>
      <c r="K15" s="19"/>
      <c r="L15" s="19"/>
      <c r="M15" s="19"/>
      <c r="N15" s="19"/>
      <c r="O15" s="19"/>
    </row>
    <row r="16" customFormat="false" ht="15" hidden="false" customHeight="false" outlineLevel="0" collapsed="false">
      <c r="B16" s="4" t="s">
        <v>222</v>
      </c>
      <c r="C16" s="17" t="s">
        <v>105</v>
      </c>
      <c r="D16" s="43" t="n">
        <f aca="false">D14-IS!D8</f>
        <v>0</v>
      </c>
      <c r="E16" s="43" t="n">
        <f aca="false">E14-IS!E8</f>
        <v>0</v>
      </c>
      <c r="F16" s="43" t="n">
        <f aca="false">F14-IS!F8</f>
        <v>0</v>
      </c>
      <c r="G16" s="43" t="n">
        <f aca="false">G14-IS!G8</f>
        <v>0</v>
      </c>
      <c r="H16" s="43" t="n">
        <f aca="false">H14-IS!H8</f>
        <v>0</v>
      </c>
      <c r="I16" s="43" t="n">
        <f aca="false">I14-IS!I8</f>
        <v>0</v>
      </c>
      <c r="J16" s="43" t="n">
        <f aca="false">J14-IS!J8</f>
        <v>0</v>
      </c>
    </row>
    <row r="18" customFormat="false" ht="15" hidden="false" customHeight="false" outlineLevel="0" collapsed="false">
      <c r="B18" s="6" t="s">
        <v>223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customFormat="false" ht="15" hidden="false" customHeight="false" outlineLevel="0" collapsed="false">
      <c r="B19" s="39" t="s">
        <v>224</v>
      </c>
      <c r="C19" s="40" t="s">
        <v>105</v>
      </c>
      <c r="D19" s="41" t="n">
        <f aca="false">D9+D10+D11</f>
        <v>1480.759</v>
      </c>
      <c r="E19" s="41" t="n">
        <f aca="false">E9+E10+E11</f>
        <v>1626.173</v>
      </c>
      <c r="F19" s="41" t="n">
        <f aca="false">F9+F10+F11</f>
        <v>1806.063</v>
      </c>
      <c r="G19" s="41" t="n">
        <f aca="false">G9+G10+G11</f>
        <v>2031.817</v>
      </c>
      <c r="H19" s="41" t="n">
        <f aca="false">H9+H10+H11</f>
        <v>1004.988</v>
      </c>
      <c r="I19" s="41" t="n">
        <f aca="false">I9+I10+I11</f>
        <v>1098.153</v>
      </c>
      <c r="J19" s="41" t="n">
        <f aca="false">J9+J10+J11</f>
        <v>2124.982</v>
      </c>
      <c r="K19" s="42"/>
      <c r="L19" s="42"/>
      <c r="M19" s="42"/>
      <c r="N19" s="42"/>
      <c r="O19" s="42"/>
    </row>
    <row r="20" customFormat="false" ht="15" hidden="false" customHeight="false" outlineLevel="0" collapsed="false">
      <c r="B20" s="4" t="s">
        <v>225</v>
      </c>
      <c r="C20" s="17" t="s">
        <v>85</v>
      </c>
      <c r="E20" s="18" t="n">
        <f aca="false">E19/D19-1</f>
        <v>0.0982023408265627</v>
      </c>
      <c r="F20" s="18" t="n">
        <f aca="false">F19/E19-1</f>
        <v>0.110621686622518</v>
      </c>
      <c r="G20" s="18" t="n">
        <f aca="false">G19/F19-1</f>
        <v>0.124997854449153</v>
      </c>
      <c r="I20" s="18" t="n">
        <f aca="false">I19/H19-1</f>
        <v>0.0927025994340232</v>
      </c>
      <c r="K20" s="19"/>
      <c r="L20" s="19"/>
      <c r="M20" s="19"/>
      <c r="N20" s="19"/>
      <c r="O20" s="19"/>
    </row>
    <row r="21" customFormat="false" ht="15" hidden="false" customHeight="false" outlineLevel="0" collapsed="false">
      <c r="B21" s="4" t="s">
        <v>226</v>
      </c>
      <c r="C21" s="17" t="s">
        <v>85</v>
      </c>
      <c r="D21" s="18" t="n">
        <f aca="false">D19/D14</f>
        <v>0.800322018544982</v>
      </c>
      <c r="E21" s="18" t="n">
        <f aca="false">E19/E14</f>
        <v>0.833186712854252</v>
      </c>
      <c r="F21" s="18" t="n">
        <f aca="false">F19/F14</f>
        <v>0.844821997162508</v>
      </c>
      <c r="G21" s="18" t="n">
        <f aca="false">G19/G14</f>
        <v>0.87114957510483</v>
      </c>
      <c r="H21" s="18" t="n">
        <f aca="false">H19/H14</f>
        <v>0.865412535456504</v>
      </c>
      <c r="I21" s="18" t="n">
        <f aca="false">I19/I14</f>
        <v>0.872520159320006</v>
      </c>
      <c r="J21" s="18" t="n">
        <f aca="false">J19/J14</f>
        <v>0.874601641301632</v>
      </c>
      <c r="K21" s="19"/>
      <c r="L21" s="19"/>
      <c r="M21" s="19"/>
      <c r="N21" s="19"/>
      <c r="O21" s="19"/>
      <c r="P21" s="20" t="s">
        <v>227</v>
      </c>
    </row>
    <row r="22" customFormat="false" ht="15" hidden="false" customHeight="false" outlineLevel="0" collapsed="false">
      <c r="B22" s="4" t="s">
        <v>228</v>
      </c>
      <c r="C22" s="17" t="s">
        <v>85</v>
      </c>
      <c r="D22" s="18" t="n">
        <f aca="false">D9/(D9+D11)</f>
        <v>0.477742560879216</v>
      </c>
      <c r="E22" s="18" t="n">
        <f aca="false">E9/(E9+E11)</f>
        <v>0.530823274397319</v>
      </c>
      <c r="F22" s="18" t="n">
        <f aca="false">F9/(F9+F11)</f>
        <v>0.581977252685459</v>
      </c>
      <c r="G22" s="18" t="n">
        <f aca="false">G9/(G9+G11)</f>
        <v>0.635752662902787</v>
      </c>
      <c r="H22" s="18" t="n">
        <f aca="false">H9/(H9+H11)</f>
        <v>0.621706260774503</v>
      </c>
      <c r="I22" s="18" t="n">
        <f aca="false">I9/(I9+I11)</f>
        <v>0.678463218213488</v>
      </c>
      <c r="J22" s="18" t="n">
        <f aca="false">J9/(J9+J11)</f>
        <v>0.664189977701315</v>
      </c>
      <c r="K22" s="19"/>
      <c r="L22" s="19"/>
      <c r="M22" s="19"/>
      <c r="N22" s="19"/>
      <c r="O22" s="19"/>
    </row>
    <row r="23" customFormat="false" ht="15" hidden="false" customHeight="false" outlineLevel="0" collapsed="false">
      <c r="B23" s="4" t="s">
        <v>229</v>
      </c>
      <c r="C23" s="17" t="s">
        <v>105</v>
      </c>
      <c r="F23" s="21" t="n">
        <f aca="false">Quarterly!G16</f>
        <v>1855.416</v>
      </c>
      <c r="G23" s="21" t="n">
        <f aca="false">Quarterly!K16</f>
        <v>2057.692</v>
      </c>
      <c r="H23" s="21" t="n">
        <f aca="false">Quarterly!I16</f>
        <v>2068.792</v>
      </c>
      <c r="I23" s="21" t="n">
        <f aca="false">Quarterly!M16</f>
        <v>2238.136</v>
      </c>
      <c r="P23" s="20" t="s">
        <v>230</v>
      </c>
    </row>
    <row r="24" customFormat="false" ht="15" hidden="false" customHeight="false" outlineLevel="0" collapsed="false">
      <c r="B24" s="4" t="s">
        <v>231</v>
      </c>
      <c r="C24" s="17" t="s">
        <v>85</v>
      </c>
      <c r="G24" s="18" t="n">
        <f aca="false">G23/F23-1</f>
        <v>0.109019217253705</v>
      </c>
      <c r="I24" s="18" t="n">
        <f aca="false">I23/H23-1</f>
        <v>0.0818564650288671</v>
      </c>
      <c r="P24" s="20" t="s">
        <v>232</v>
      </c>
    </row>
    <row r="26" customFormat="false" ht="15" hidden="false" customHeight="false" outlineLevel="0" collapsed="false">
      <c r="B26" s="6" t="s">
        <v>233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customFormat="false" ht="15" hidden="false" customHeight="false" outlineLevel="0" collapsed="false">
      <c r="B27" s="4" t="s">
        <v>234</v>
      </c>
      <c r="C27" s="17" t="s">
        <v>121</v>
      </c>
      <c r="D27" s="38" t="n">
        <f aca="false">(BS!D11+BS!D16)/IS!D8*365</f>
        <v>115.510354533878</v>
      </c>
      <c r="E27" s="38" t="n">
        <f aca="false">(BS!E11+BS!E16)/IS!E8*365</f>
        <v>117.572671923826</v>
      </c>
      <c r="F27" s="38" t="n">
        <f aca="false">(BS!F11+BS!F16)/IS!F8*365</f>
        <v>101.551571870748</v>
      </c>
      <c r="G27" s="38" t="n">
        <f aca="false">(BS!G11+BS!G16)/IS!G8*365</f>
        <v>100.902780040646</v>
      </c>
      <c r="I27" s="38" t="n">
        <f aca="false">(BS!I11+BS!I16)/IS!J8*365</f>
        <v>110.459785064312</v>
      </c>
      <c r="K27" s="22"/>
      <c r="L27" s="22"/>
      <c r="M27" s="22"/>
      <c r="N27" s="22"/>
      <c r="O27" s="22"/>
      <c r="P27" s="20" t="s">
        <v>235</v>
      </c>
    </row>
    <row r="28" customFormat="false" ht="15" hidden="false" customHeight="false" outlineLevel="0" collapsed="false">
      <c r="B28" s="4" t="s">
        <v>236</v>
      </c>
      <c r="C28" s="17" t="s">
        <v>105</v>
      </c>
      <c r="D28" s="38" t="n">
        <f aca="false">D9+D11</f>
        <v>896.981</v>
      </c>
      <c r="E28" s="38" t="n">
        <f aca="false">E9+E11</f>
        <v>994.638</v>
      </c>
      <c r="F28" s="38" t="n">
        <f aca="false">F9+F11</f>
        <v>1107.911</v>
      </c>
      <c r="G28" s="38" t="n">
        <f aca="false">G9+G11</f>
        <v>1223.383</v>
      </c>
      <c r="H28" s="38" t="n">
        <f aca="false">H9+H11</f>
        <v>594.575</v>
      </c>
      <c r="I28" s="38" t="n">
        <f aca="false">I9+I11</f>
        <v>667.681</v>
      </c>
      <c r="J28" s="38" t="n">
        <f aca="false">J9+J11</f>
        <v>1296.489</v>
      </c>
      <c r="K28" s="22"/>
      <c r="L28" s="22"/>
      <c r="M28" s="22"/>
      <c r="N28" s="22"/>
      <c r="O28" s="22"/>
    </row>
    <row r="29" customFormat="false" ht="15" hidden="false" customHeight="false" outlineLevel="0" collapsed="false">
      <c r="B29" s="4" t="s">
        <v>237</v>
      </c>
      <c r="C29" s="17" t="s">
        <v>85</v>
      </c>
      <c r="D29" s="18" t="n">
        <f aca="false">BS!D30/D28</f>
        <v>0.633835053362334</v>
      </c>
      <c r="E29" s="18" t="n">
        <f aca="false">BS!E30/E28</f>
        <v>0.636325979904247</v>
      </c>
      <c r="F29" s="18" t="n">
        <f aca="false">BS!F30/F28</f>
        <v>0.633117642121073</v>
      </c>
      <c r="G29" s="18" t="n">
        <f aca="false">BS!G30/G28</f>
        <v>0.638261280400333</v>
      </c>
      <c r="I29" s="18" t="n">
        <f aca="false">BS!I30/J28</f>
        <v>0.615072707905736</v>
      </c>
      <c r="K29" s="19"/>
      <c r="L29" s="19"/>
      <c r="M29" s="19"/>
      <c r="N29" s="19"/>
      <c r="O29" s="19"/>
      <c r="P29" s="20" t="s">
        <v>238</v>
      </c>
    </row>
    <row r="30" customFormat="false" ht="15" hidden="false" customHeight="false" outlineLevel="0" collapsed="false">
      <c r="B30" s="4" t="s">
        <v>239</v>
      </c>
      <c r="C30" s="17" t="s">
        <v>105</v>
      </c>
      <c r="D30" s="38" t="n">
        <f aca="false">BS!D30+BS!D36</f>
        <v>570.575</v>
      </c>
      <c r="E30" s="38" t="n">
        <f aca="false">BS!E30+BS!E36</f>
        <v>633.205</v>
      </c>
      <c r="F30" s="38" t="n">
        <f aca="false">BS!F30+BS!F36</f>
        <v>723.814</v>
      </c>
      <c r="G30" s="38" t="n">
        <f aca="false">BS!G30+BS!G36</f>
        <v>801.826</v>
      </c>
      <c r="H30" s="38" t="n">
        <f aca="false">BS!H30+BS!H36</f>
        <v>743.375</v>
      </c>
      <c r="I30" s="38" t="n">
        <f aca="false">BS!I30+BS!I36</f>
        <v>816.921</v>
      </c>
      <c r="J30" s="38" t="n">
        <f aca="false">BS!J30+BS!J36</f>
        <v>816.921</v>
      </c>
      <c r="K30" s="22"/>
      <c r="L30" s="22"/>
      <c r="M30" s="22"/>
      <c r="N30" s="22"/>
      <c r="O30" s="22"/>
    </row>
    <row r="31" customFormat="false" ht="15" hidden="false" customHeight="false" outlineLevel="0" collapsed="false">
      <c r="B31" s="4" t="s">
        <v>240</v>
      </c>
      <c r="C31" s="17" t="s">
        <v>105</v>
      </c>
      <c r="E31" s="38" t="n">
        <f aca="false">E30-D30</f>
        <v>62.63</v>
      </c>
      <c r="F31" s="38" t="n">
        <f aca="false">F30-E30</f>
        <v>90.6089999999999</v>
      </c>
      <c r="G31" s="38" t="n">
        <f aca="false">G30-F30</f>
        <v>78.0120000000001</v>
      </c>
      <c r="K31" s="22"/>
      <c r="L31" s="22"/>
      <c r="M31" s="22"/>
      <c r="N31" s="22"/>
      <c r="O31" s="22"/>
      <c r="P31" s="20" t="s">
        <v>241</v>
      </c>
    </row>
    <row r="32" customFormat="false" ht="15" hidden="false" customHeight="false" outlineLevel="0" collapsed="false">
      <c r="B32" s="4" t="s">
        <v>242</v>
      </c>
      <c r="C32" s="17" t="s">
        <v>85</v>
      </c>
      <c r="G32" s="34" t="n">
        <v>0.97</v>
      </c>
      <c r="I32" s="34" t="n">
        <v>0.98</v>
      </c>
      <c r="P32" s="20" t="s">
        <v>243</v>
      </c>
    </row>
  </sheetData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IC Simulator · Tyler Technologies (TYL) · Advanced · Practice use only ·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P5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3" min="3" style="0" width="9"/>
    <col collapsed="false" customWidth="true" hidden="false" outlineLevel="0" max="15" min="4" style="0" width="11.5"/>
    <col collapsed="false" customWidth="true" hidden="false" outlineLevel="0" max="16" min="16" style="0" width="70"/>
  </cols>
  <sheetData>
    <row r="1" customFormat="false" ht="17.35" hidden="false" customHeight="false" outlineLevel="0" collapsed="false">
      <c r="B1" s="9" t="s">
        <v>244</v>
      </c>
    </row>
    <row r="2" customFormat="false" ht="15" hidden="false" customHeight="false" outlineLevel="0" collapsed="false">
      <c r="B2" s="10" t="s">
        <v>245</v>
      </c>
    </row>
    <row r="4" customFormat="false" ht="15" hidden="false" customHeight="false" outlineLevel="0" collapsed="false">
      <c r="B4" s="11" t="s">
        <v>67</v>
      </c>
      <c r="C4" s="11" t="s">
        <v>12</v>
      </c>
      <c r="D4" s="12" t="s">
        <v>68</v>
      </c>
      <c r="E4" s="12" t="s">
        <v>69</v>
      </c>
      <c r="F4" s="12" t="s">
        <v>70</v>
      </c>
      <c r="G4" s="12" t="s">
        <v>71</v>
      </c>
      <c r="H4" s="12" t="s">
        <v>72</v>
      </c>
      <c r="I4" s="12" t="s">
        <v>73</v>
      </c>
      <c r="J4" s="12" t="s">
        <v>74</v>
      </c>
      <c r="K4" s="12" t="s">
        <v>75</v>
      </c>
      <c r="L4" s="12" t="s">
        <v>76</v>
      </c>
      <c r="M4" s="12" t="s">
        <v>77</v>
      </c>
      <c r="N4" s="12" t="s">
        <v>78</v>
      </c>
      <c r="O4" s="12" t="s">
        <v>79</v>
      </c>
      <c r="P4" s="11" t="s">
        <v>80</v>
      </c>
    </row>
    <row r="5" customFormat="false" ht="15" hidden="false" customHeight="false" outlineLevel="0" collapsed="false">
      <c r="B5" s="13" t="s">
        <v>81</v>
      </c>
      <c r="C5" s="14"/>
      <c r="D5" s="15" t="n">
        <v>44926</v>
      </c>
      <c r="E5" s="15" t="n">
        <v>45291</v>
      </c>
      <c r="F5" s="15" t="n">
        <v>45657</v>
      </c>
      <c r="G5" s="15" t="n">
        <v>46022</v>
      </c>
      <c r="H5" s="15" t="n">
        <v>45838</v>
      </c>
      <c r="I5" s="15" t="n">
        <v>46203</v>
      </c>
      <c r="J5" s="15" t="n">
        <v>46203</v>
      </c>
      <c r="K5" s="15" t="n">
        <v>46387</v>
      </c>
      <c r="L5" s="15" t="n">
        <v>46752</v>
      </c>
      <c r="M5" s="15" t="n">
        <v>47118</v>
      </c>
      <c r="N5" s="15" t="n">
        <v>47483</v>
      </c>
      <c r="O5" s="15" t="n">
        <v>47848</v>
      </c>
      <c r="P5" s="14"/>
    </row>
    <row r="6" customFormat="false" ht="15" hidden="false" customHeight="false" outlineLevel="0" collapsed="false">
      <c r="B6" s="13" t="s">
        <v>82</v>
      </c>
      <c r="C6" s="14"/>
      <c r="D6" s="16" t="n">
        <v>52</v>
      </c>
      <c r="E6" s="16" t="n">
        <v>52</v>
      </c>
      <c r="F6" s="16" t="n">
        <v>52</v>
      </c>
      <c r="G6" s="16" t="n">
        <v>52</v>
      </c>
      <c r="H6" s="16" t="n">
        <v>26</v>
      </c>
      <c r="I6" s="16" t="n">
        <v>26</v>
      </c>
      <c r="J6" s="16" t="n">
        <v>52</v>
      </c>
      <c r="K6" s="16" t="n">
        <v>52</v>
      </c>
      <c r="L6" s="16" t="n">
        <v>52</v>
      </c>
      <c r="M6" s="16" t="n">
        <v>52</v>
      </c>
      <c r="N6" s="16" t="n">
        <v>52</v>
      </c>
      <c r="O6" s="16" t="n">
        <v>52</v>
      </c>
      <c r="P6" s="14"/>
    </row>
    <row r="8" customFormat="false" ht="15" hidden="false" customHeight="false" outlineLevel="0" collapsed="false">
      <c r="B8" s="4" t="s">
        <v>220</v>
      </c>
      <c r="C8" s="17" t="s">
        <v>105</v>
      </c>
      <c r="D8" s="32" t="n">
        <v>1850.204</v>
      </c>
      <c r="E8" s="32" t="n">
        <v>1951.751</v>
      </c>
      <c r="F8" s="32" t="n">
        <v>2137.803</v>
      </c>
      <c r="G8" s="32" t="n">
        <v>2332.34</v>
      </c>
      <c r="H8" s="32" t="n">
        <v>1161.282</v>
      </c>
      <c r="I8" s="32" t="n">
        <v>1258.599</v>
      </c>
      <c r="J8" s="38" t="n">
        <f aca="false">G8+I8-H8</f>
        <v>2429.657</v>
      </c>
      <c r="K8" s="22"/>
      <c r="L8" s="22"/>
      <c r="M8" s="22"/>
      <c r="N8" s="22"/>
      <c r="O8" s="22"/>
      <c r="P8" s="20" t="s">
        <v>246</v>
      </c>
    </row>
    <row r="9" customFormat="false" ht="15" hidden="false" customHeight="false" outlineLevel="0" collapsed="false">
      <c r="B9" s="4" t="s">
        <v>221</v>
      </c>
      <c r="C9" s="17" t="s">
        <v>85</v>
      </c>
      <c r="E9" s="18" t="n">
        <f aca="false">E8/D8-1</f>
        <v>0.0548842181726987</v>
      </c>
      <c r="F9" s="18" t="n">
        <f aca="false">F8/E8-1</f>
        <v>0.09532568447512</v>
      </c>
      <c r="G9" s="18" t="n">
        <f aca="false">G8/F8-1</f>
        <v>0.0909985625429473</v>
      </c>
      <c r="I9" s="18" t="n">
        <f aca="false">I8/H8-1</f>
        <v>0.0838013505763458</v>
      </c>
      <c r="K9" s="19"/>
      <c r="L9" s="19"/>
      <c r="M9" s="19"/>
      <c r="N9" s="19"/>
      <c r="O9" s="19"/>
    </row>
    <row r="10" customFormat="false" ht="15" hidden="false" customHeight="false" outlineLevel="0" collapsed="false">
      <c r="B10" s="4" t="s">
        <v>247</v>
      </c>
      <c r="C10" s="17" t="s">
        <v>105</v>
      </c>
      <c r="D10" s="32" t="n">
        <v>1066.341</v>
      </c>
      <c r="E10" s="32" t="n">
        <v>1090.652</v>
      </c>
      <c r="F10" s="32" t="n">
        <v>1202.042</v>
      </c>
      <c r="G10" s="32" t="n">
        <v>1248.64</v>
      </c>
      <c r="H10" s="32" t="n">
        <v>621.017</v>
      </c>
      <c r="I10" s="32" t="n">
        <v>655.108</v>
      </c>
      <c r="J10" s="38" t="n">
        <f aca="false">G10+I10-H10</f>
        <v>1282.731</v>
      </c>
      <c r="K10" s="22"/>
      <c r="L10" s="22"/>
      <c r="M10" s="22"/>
      <c r="N10" s="22"/>
      <c r="O10" s="22"/>
      <c r="P10" s="20" t="s">
        <v>248</v>
      </c>
    </row>
    <row r="11" customFormat="false" ht="15" hidden="false" customHeight="false" outlineLevel="0" collapsed="false">
      <c r="B11" s="39" t="s">
        <v>249</v>
      </c>
      <c r="C11" s="40" t="s">
        <v>105</v>
      </c>
      <c r="D11" s="41" t="n">
        <f aca="false">D8-D10</f>
        <v>783.863</v>
      </c>
      <c r="E11" s="41" t="n">
        <f aca="false">E8-E10</f>
        <v>861.099</v>
      </c>
      <c r="F11" s="41" t="n">
        <f aca="false">F8-F10</f>
        <v>935.761</v>
      </c>
      <c r="G11" s="41" t="n">
        <f aca="false">G8-G10</f>
        <v>1083.7</v>
      </c>
      <c r="H11" s="41" t="n">
        <f aca="false">H8-H10</f>
        <v>540.265</v>
      </c>
      <c r="I11" s="41" t="n">
        <f aca="false">I8-I10</f>
        <v>603.491</v>
      </c>
      <c r="J11" s="41" t="n">
        <f aca="false">J8-J10</f>
        <v>1146.926</v>
      </c>
      <c r="K11" s="42"/>
      <c r="L11" s="42"/>
      <c r="M11" s="42"/>
      <c r="N11" s="42"/>
      <c r="O11" s="42"/>
    </row>
    <row r="12" customFormat="false" ht="15" hidden="false" customHeight="false" outlineLevel="0" collapsed="false">
      <c r="B12" s="4" t="s">
        <v>250</v>
      </c>
      <c r="C12" s="17" t="s">
        <v>85</v>
      </c>
      <c r="D12" s="18" t="n">
        <f aca="false">D11/D8</f>
        <v>0.423663012294861</v>
      </c>
      <c r="E12" s="18" t="n">
        <f aca="false">E11/E8</f>
        <v>0.441193062024818</v>
      </c>
      <c r="F12" s="18" t="n">
        <f aca="false">F11/F8</f>
        <v>0.437720875122731</v>
      </c>
      <c r="G12" s="18" t="n">
        <f aca="false">G11/G8</f>
        <v>0.464640661310101</v>
      </c>
      <c r="H12" s="18" t="n">
        <f aca="false">H11/H8</f>
        <v>0.465231528603733</v>
      </c>
      <c r="I12" s="18" t="n">
        <f aca="false">I11/I8</f>
        <v>0.47949426306552</v>
      </c>
      <c r="J12" s="18" t="n">
        <f aca="false">J11/J8</f>
        <v>0.472052639528954</v>
      </c>
      <c r="K12" s="19"/>
      <c r="L12" s="19"/>
      <c r="M12" s="19"/>
      <c r="N12" s="19"/>
      <c r="O12" s="19"/>
    </row>
    <row r="13" customFormat="false" ht="15" hidden="false" customHeight="false" outlineLevel="0" collapsed="false">
      <c r="B13" s="4" t="s">
        <v>251</v>
      </c>
      <c r="C13" s="17" t="s">
        <v>105</v>
      </c>
      <c r="D13" s="32" t="n">
        <v>135.743</v>
      </c>
      <c r="E13" s="32" t="n">
        <v>149.77</v>
      </c>
      <c r="F13" s="32" t="n">
        <v>157.731</v>
      </c>
      <c r="G13" s="32" t="n">
        <v>148.57</v>
      </c>
      <c r="H13" s="32" t="n">
        <v>72.785</v>
      </c>
      <c r="I13" s="32" t="n">
        <v>78.648</v>
      </c>
      <c r="J13" s="38" t="n">
        <f aca="false">G13+I13-H13</f>
        <v>154.433</v>
      </c>
      <c r="K13" s="22"/>
      <c r="L13" s="22"/>
      <c r="M13" s="22"/>
      <c r="N13" s="22"/>
      <c r="O13" s="22"/>
    </row>
    <row r="14" customFormat="false" ht="15" hidden="false" customHeight="false" outlineLevel="0" collapsed="false">
      <c r="B14" s="4" t="s">
        <v>252</v>
      </c>
      <c r="C14" s="17" t="s">
        <v>105</v>
      </c>
      <c r="D14" s="32" t="n">
        <v>267.324</v>
      </c>
      <c r="E14" s="32" t="n">
        <v>308.575</v>
      </c>
      <c r="F14" s="32" t="n">
        <v>300.938</v>
      </c>
      <c r="G14" s="32" t="n">
        <v>316.447</v>
      </c>
      <c r="H14" s="32" t="n">
        <v>156.053</v>
      </c>
      <c r="I14" s="32" t="n">
        <v>177.698</v>
      </c>
      <c r="J14" s="38" t="n">
        <f aca="false">G14+I14-H14</f>
        <v>338.092</v>
      </c>
      <c r="K14" s="22"/>
      <c r="L14" s="22"/>
      <c r="M14" s="22"/>
      <c r="N14" s="22"/>
      <c r="O14" s="22"/>
    </row>
    <row r="15" customFormat="false" ht="15" hidden="false" customHeight="false" outlineLevel="0" collapsed="false">
      <c r="B15" s="4" t="s">
        <v>253</v>
      </c>
      <c r="C15" s="17" t="s">
        <v>105</v>
      </c>
      <c r="D15" s="32" t="n">
        <v>105.184</v>
      </c>
      <c r="E15" s="32" t="n">
        <v>109.585</v>
      </c>
      <c r="F15" s="32" t="n">
        <v>117.939</v>
      </c>
      <c r="G15" s="32" t="n">
        <v>204.588</v>
      </c>
      <c r="H15" s="32" t="n">
        <v>98.686</v>
      </c>
      <c r="I15" s="32" t="n">
        <v>122.559</v>
      </c>
      <c r="J15" s="38" t="n">
        <f aca="false">G15+I15-H15</f>
        <v>228.461</v>
      </c>
      <c r="K15" s="22"/>
      <c r="L15" s="22"/>
      <c r="M15" s="22"/>
      <c r="N15" s="22"/>
      <c r="O15" s="22"/>
    </row>
    <row r="16" customFormat="false" ht="15" hidden="false" customHeight="false" outlineLevel="0" collapsed="false">
      <c r="B16" s="4" t="s">
        <v>254</v>
      </c>
      <c r="C16" s="17" t="s">
        <v>105</v>
      </c>
      <c r="D16" s="32" t="n">
        <v>61.363</v>
      </c>
      <c r="E16" s="32" t="n">
        <v>74.632</v>
      </c>
      <c r="F16" s="32" t="n">
        <v>59.627</v>
      </c>
      <c r="G16" s="32" t="n">
        <v>56.419</v>
      </c>
      <c r="H16" s="32" t="n">
        <v>27.972</v>
      </c>
      <c r="I16" s="32" t="n">
        <v>29.679</v>
      </c>
      <c r="J16" s="38" t="n">
        <f aca="false">G16+I16-H16</f>
        <v>58.126</v>
      </c>
      <c r="K16" s="22"/>
      <c r="L16" s="22"/>
      <c r="M16" s="22"/>
      <c r="N16" s="22"/>
      <c r="O16" s="22"/>
    </row>
    <row r="17" customFormat="false" ht="15" hidden="false" customHeight="false" outlineLevel="0" collapsed="false">
      <c r="B17" s="39" t="s">
        <v>255</v>
      </c>
      <c r="C17" s="40" t="s">
        <v>105</v>
      </c>
      <c r="D17" s="41" t="n">
        <f aca="false">D11-D13-D14-D15-D16</f>
        <v>214.249</v>
      </c>
      <c r="E17" s="41" t="n">
        <f aca="false">E11-E13-E14-E15-E16</f>
        <v>218.537</v>
      </c>
      <c r="F17" s="41" t="n">
        <f aca="false">F11-F13-F14-F15-F16</f>
        <v>299.526</v>
      </c>
      <c r="G17" s="41" t="n">
        <f aca="false">G11-G13-G14-G15-G16</f>
        <v>357.676</v>
      </c>
      <c r="H17" s="41" t="n">
        <f aca="false">H11-H13-H14-H15-H16</f>
        <v>184.769</v>
      </c>
      <c r="I17" s="41" t="n">
        <f aca="false">I11-I13-I14-I15-I16</f>
        <v>194.907</v>
      </c>
      <c r="J17" s="41" t="n">
        <f aca="false">J11-J13-J14-J15-J16</f>
        <v>367.814</v>
      </c>
      <c r="K17" s="42"/>
      <c r="L17" s="42"/>
      <c r="M17" s="42"/>
      <c r="N17" s="42"/>
      <c r="O17" s="42"/>
    </row>
    <row r="18" customFormat="false" ht="15" hidden="false" customHeight="false" outlineLevel="0" collapsed="false">
      <c r="B18" s="4" t="s">
        <v>256</v>
      </c>
      <c r="C18" s="17" t="s">
        <v>85</v>
      </c>
      <c r="D18" s="18" t="n">
        <f aca="false">D17/D8</f>
        <v>0.115797501248511</v>
      </c>
      <c r="E18" s="18" t="n">
        <f aca="false">E17/E8</f>
        <v>0.111969713349705</v>
      </c>
      <c r="F18" s="18" t="n">
        <f aca="false">F17/F8</f>
        <v>0.140109261704657</v>
      </c>
      <c r="G18" s="18" t="n">
        <f aca="false">G17/G8</f>
        <v>0.153354999699872</v>
      </c>
      <c r="H18" s="18" t="n">
        <f aca="false">H17/H8</f>
        <v>0.159107779161306</v>
      </c>
      <c r="I18" s="18" t="n">
        <f aca="false">I17/I8</f>
        <v>0.154860285126557</v>
      </c>
      <c r="J18" s="18" t="n">
        <f aca="false">J17/J8</f>
        <v>0.151385154365411</v>
      </c>
      <c r="K18" s="19"/>
      <c r="L18" s="19"/>
      <c r="M18" s="19"/>
      <c r="N18" s="19"/>
      <c r="O18" s="19"/>
    </row>
    <row r="19" customFormat="false" ht="15" hidden="false" customHeight="false" outlineLevel="0" collapsed="false">
      <c r="B19" s="4" t="s">
        <v>257</v>
      </c>
      <c r="C19" s="17" t="s">
        <v>105</v>
      </c>
      <c r="D19" s="32" t="n">
        <v>28.379</v>
      </c>
      <c r="E19" s="32" t="n">
        <v>23.629</v>
      </c>
      <c r="F19" s="32" t="n">
        <v>5.931</v>
      </c>
      <c r="G19" s="32" t="n">
        <v>4.995</v>
      </c>
      <c r="H19" s="32" t="n">
        <v>2.508</v>
      </c>
      <c r="I19" s="32" t="n">
        <v>4.04</v>
      </c>
      <c r="J19" s="38" t="n">
        <f aca="false">G19+I19-H19</f>
        <v>6.527</v>
      </c>
      <c r="K19" s="22"/>
      <c r="L19" s="22"/>
      <c r="M19" s="22"/>
      <c r="N19" s="22"/>
      <c r="O19" s="22"/>
      <c r="P19" s="20" t="s">
        <v>258</v>
      </c>
    </row>
    <row r="20" customFormat="false" ht="15" hidden="false" customHeight="false" outlineLevel="0" collapsed="false">
      <c r="B20" s="4" t="s">
        <v>259</v>
      </c>
      <c r="C20" s="17" t="s">
        <v>105</v>
      </c>
      <c r="D20" s="32" t="n">
        <v>0</v>
      </c>
      <c r="E20" s="32" t="n">
        <v>0</v>
      </c>
      <c r="F20" s="32" t="n">
        <v>0</v>
      </c>
      <c r="G20" s="32" t="n">
        <v>0</v>
      </c>
      <c r="H20" s="32" t="n">
        <v>0</v>
      </c>
      <c r="I20" s="32" t="n">
        <v>25.048</v>
      </c>
      <c r="J20" s="38" t="n">
        <f aca="false">G20+I20-H20</f>
        <v>25.048</v>
      </c>
      <c r="K20" s="22"/>
      <c r="L20" s="22"/>
      <c r="M20" s="22"/>
      <c r="N20" s="22"/>
      <c r="O20" s="22"/>
      <c r="P20" s="20" t="s">
        <v>260</v>
      </c>
    </row>
    <row r="21" customFormat="false" ht="15" hidden="false" customHeight="false" outlineLevel="0" collapsed="false">
      <c r="B21" s="4" t="s">
        <v>261</v>
      </c>
      <c r="C21" s="17" t="s">
        <v>105</v>
      </c>
      <c r="D21" s="32" t="n">
        <v>1.723</v>
      </c>
      <c r="E21" s="32" t="n">
        <v>3.328</v>
      </c>
      <c r="F21" s="32" t="n">
        <v>14.572</v>
      </c>
      <c r="G21" s="32" t="n">
        <v>37.637</v>
      </c>
      <c r="H21" s="32" t="n">
        <v>15.542</v>
      </c>
      <c r="I21" s="32" t="n">
        <v>11.138</v>
      </c>
      <c r="J21" s="38" t="n">
        <f aca="false">G21+I21-H21</f>
        <v>33.233</v>
      </c>
      <c r="K21" s="22"/>
      <c r="L21" s="22"/>
      <c r="M21" s="22"/>
      <c r="N21" s="22"/>
      <c r="O21" s="22"/>
    </row>
    <row r="22" customFormat="false" ht="15" hidden="false" customHeight="false" outlineLevel="0" collapsed="false">
      <c r="B22" s="39" t="s">
        <v>262</v>
      </c>
      <c r="C22" s="40" t="s">
        <v>105</v>
      </c>
      <c r="D22" s="41" t="n">
        <f aca="false">D17-D19+D20+D21</f>
        <v>187.593</v>
      </c>
      <c r="E22" s="41" t="n">
        <f aca="false">E17-E19+E20+E21</f>
        <v>198.236</v>
      </c>
      <c r="F22" s="41" t="n">
        <f aca="false">F17-F19+F20+F21</f>
        <v>308.167</v>
      </c>
      <c r="G22" s="41" t="n">
        <f aca="false">G17-G19+G20+G21</f>
        <v>390.318</v>
      </c>
      <c r="H22" s="41" t="n">
        <f aca="false">H17-H19+H20+H21</f>
        <v>197.803</v>
      </c>
      <c r="I22" s="41" t="n">
        <f aca="false">I17-I19+I20+I21</f>
        <v>227.053</v>
      </c>
      <c r="J22" s="41" t="n">
        <f aca="false">J17-J19+J20+J21</f>
        <v>419.568</v>
      </c>
      <c r="K22" s="42"/>
      <c r="L22" s="42"/>
      <c r="M22" s="42"/>
      <c r="N22" s="42"/>
      <c r="O22" s="42"/>
    </row>
    <row r="23" customFormat="false" ht="15" hidden="false" customHeight="false" outlineLevel="0" collapsed="false">
      <c r="B23" s="4" t="s">
        <v>263</v>
      </c>
      <c r="C23" s="17" t="s">
        <v>105</v>
      </c>
      <c r="D23" s="32" t="n">
        <v>23.353</v>
      </c>
      <c r="E23" s="32" t="n">
        <v>32.317</v>
      </c>
      <c r="F23" s="32" t="n">
        <v>45.141</v>
      </c>
      <c r="G23" s="32" t="n">
        <v>74.715</v>
      </c>
      <c r="H23" s="32" t="n">
        <v>32.124</v>
      </c>
      <c r="I23" s="32" t="n">
        <v>52.361</v>
      </c>
      <c r="J23" s="38" t="n">
        <f aca="false">G23+I23-H23</f>
        <v>94.952</v>
      </c>
      <c r="K23" s="22"/>
      <c r="L23" s="22"/>
      <c r="M23" s="22"/>
      <c r="N23" s="22"/>
      <c r="O23" s="22"/>
    </row>
    <row r="24" customFormat="false" ht="15" hidden="false" customHeight="false" outlineLevel="0" collapsed="false">
      <c r="B24" s="39" t="s">
        <v>264</v>
      </c>
      <c r="C24" s="40" t="s">
        <v>105</v>
      </c>
      <c r="D24" s="41" t="n">
        <f aca="false">D22-D23</f>
        <v>164.24</v>
      </c>
      <c r="E24" s="41" t="n">
        <f aca="false">E22-E23</f>
        <v>165.919</v>
      </c>
      <c r="F24" s="41" t="n">
        <f aca="false">F22-F23</f>
        <v>263.026</v>
      </c>
      <c r="G24" s="41" t="n">
        <f aca="false">G22-G23</f>
        <v>315.603</v>
      </c>
      <c r="H24" s="41" t="n">
        <f aca="false">H22-H23</f>
        <v>165.679</v>
      </c>
      <c r="I24" s="41" t="n">
        <f aca="false">I22-I23</f>
        <v>174.692</v>
      </c>
      <c r="J24" s="41" t="n">
        <f aca="false">J22-J23</f>
        <v>324.616</v>
      </c>
      <c r="K24" s="42"/>
      <c r="L24" s="42"/>
      <c r="M24" s="42"/>
      <c r="N24" s="42"/>
      <c r="O24" s="42"/>
    </row>
    <row r="25" customFormat="false" ht="15" hidden="false" customHeight="false" outlineLevel="0" collapsed="false">
      <c r="B25" s="4" t="s">
        <v>265</v>
      </c>
      <c r="C25" s="17" t="s">
        <v>85</v>
      </c>
      <c r="D25" s="18" t="n">
        <f aca="false">D24/D8</f>
        <v>0.0887685898419851</v>
      </c>
      <c r="E25" s="18" t="n">
        <f aca="false">E24/E8</f>
        <v>0.0850103317482609</v>
      </c>
      <c r="F25" s="18" t="n">
        <f aca="false">F24/F8</f>
        <v>0.123035658570972</v>
      </c>
      <c r="G25" s="18" t="n">
        <f aca="false">G24/G8</f>
        <v>0.135316034540419</v>
      </c>
      <c r="H25" s="18" t="n">
        <f aca="false">H24/H8</f>
        <v>0.142669050239304</v>
      </c>
      <c r="I25" s="18" t="n">
        <f aca="false">I24/I8</f>
        <v>0.138798775463829</v>
      </c>
      <c r="J25" s="18" t="n">
        <f aca="false">J24/J8</f>
        <v>0.133605690021266</v>
      </c>
      <c r="K25" s="19"/>
      <c r="L25" s="19"/>
      <c r="M25" s="19"/>
      <c r="N25" s="19"/>
      <c r="O25" s="19"/>
    </row>
    <row r="26" customFormat="false" ht="15" hidden="false" customHeight="false" outlineLevel="0" collapsed="false">
      <c r="B26" s="6" t="s">
        <v>266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customFormat="false" ht="15" hidden="false" customHeight="false" outlineLevel="0" collapsed="false">
      <c r="B27" s="4" t="s">
        <v>267</v>
      </c>
      <c r="C27" s="17" t="s">
        <v>145</v>
      </c>
      <c r="D27" s="28" t="n">
        <v>41.782978</v>
      </c>
      <c r="E27" s="28" t="n">
        <v>42.289493</v>
      </c>
      <c r="F27" s="28" t="n">
        <v>42.963877</v>
      </c>
      <c r="G27" s="28" t="n">
        <v>43.120932</v>
      </c>
      <c r="H27" s="28" t="n">
        <v>43.251856</v>
      </c>
      <c r="I27" s="28" t="n">
        <v>40.930564</v>
      </c>
      <c r="K27" s="29"/>
      <c r="L27" s="29"/>
      <c r="M27" s="29"/>
      <c r="N27" s="29"/>
      <c r="O27" s="29"/>
      <c r="P27" s="20" t="s">
        <v>268</v>
      </c>
    </row>
    <row r="28" customFormat="false" ht="15" hidden="false" customHeight="false" outlineLevel="0" collapsed="false">
      <c r="B28" s="4" t="s">
        <v>269</v>
      </c>
      <c r="C28" s="17" t="s">
        <v>145</v>
      </c>
      <c r="D28" s="28" t="n">
        <v>41.544</v>
      </c>
      <c r="E28" s="28" t="n">
        <v>42.024</v>
      </c>
      <c r="F28" s="28" t="n">
        <v>42.611</v>
      </c>
      <c r="G28" s="28" t="n">
        <v>43.095</v>
      </c>
      <c r="H28" s="28" t="n">
        <v>43.174</v>
      </c>
      <c r="I28" s="28" t="n">
        <v>41.564</v>
      </c>
      <c r="P28" s="20" t="s">
        <v>270</v>
      </c>
    </row>
    <row r="29" customFormat="false" ht="15" hidden="false" customHeight="false" outlineLevel="0" collapsed="false">
      <c r="B29" s="4" t="s">
        <v>271</v>
      </c>
      <c r="C29" s="17" t="s">
        <v>145</v>
      </c>
      <c r="D29" s="28" t="n">
        <v>42.399</v>
      </c>
      <c r="E29" s="28" t="n">
        <v>42.769</v>
      </c>
      <c r="F29" s="28" t="n">
        <v>43.497</v>
      </c>
      <c r="G29" s="28" t="n">
        <v>43.812</v>
      </c>
      <c r="H29" s="28" t="n">
        <v>44.016</v>
      </c>
      <c r="I29" s="28" t="n">
        <v>41.853</v>
      </c>
      <c r="K29" s="29"/>
      <c r="L29" s="29"/>
      <c r="M29" s="29"/>
      <c r="N29" s="29"/>
      <c r="O29" s="29"/>
      <c r="P29" s="20" t="s">
        <v>272</v>
      </c>
    </row>
    <row r="30" customFormat="false" ht="15" hidden="false" customHeight="false" outlineLevel="0" collapsed="false">
      <c r="B30" s="4" t="s">
        <v>273</v>
      </c>
      <c r="C30" s="17" t="s">
        <v>142</v>
      </c>
      <c r="D30" s="26" t="n">
        <f aca="false">D24/D29</f>
        <v>3.87367626594967</v>
      </c>
      <c r="E30" s="26" t="n">
        <f aca="false">E24/E29</f>
        <v>3.87942201126984</v>
      </c>
      <c r="F30" s="26" t="n">
        <f aca="false">F24/F29</f>
        <v>6.04699174655723</v>
      </c>
      <c r="G30" s="26" t="n">
        <f aca="false">G24/G29</f>
        <v>7.20357436318817</v>
      </c>
      <c r="H30" s="26" t="n">
        <f aca="false">H24/H29</f>
        <v>3.76406306797528</v>
      </c>
      <c r="I30" s="26" t="n">
        <f aca="false">I24/I29</f>
        <v>4.1739421307911</v>
      </c>
      <c r="J30" s="26" t="n">
        <f aca="false">G30+I30-H30</f>
        <v>7.61345342600399</v>
      </c>
      <c r="K30" s="27"/>
      <c r="L30" s="27"/>
      <c r="M30" s="27"/>
      <c r="N30" s="27"/>
      <c r="O30" s="27"/>
      <c r="P30" s="20" t="s">
        <v>274</v>
      </c>
    </row>
    <row r="31" customFormat="false" ht="15" hidden="false" customHeight="false" outlineLevel="0" collapsed="false">
      <c r="B31" s="4" t="s">
        <v>275</v>
      </c>
      <c r="C31" s="17" t="s">
        <v>142</v>
      </c>
      <c r="D31" s="26" t="n">
        <f aca="false">(D24-D20)/D29</f>
        <v>3.87367626594967</v>
      </c>
      <c r="E31" s="26" t="n">
        <f aca="false">(E24-E20)/E29</f>
        <v>3.87942201126984</v>
      </c>
      <c r="F31" s="26" t="n">
        <f aca="false">(F24-F20)/F29</f>
        <v>6.04699174655723</v>
      </c>
      <c r="G31" s="26" t="n">
        <f aca="false">(G24-G20)/G29</f>
        <v>7.20357436318817</v>
      </c>
      <c r="H31" s="26" t="n">
        <f aca="false">(H24-H20)/H29</f>
        <v>3.76406306797528</v>
      </c>
      <c r="I31" s="26" t="n">
        <f aca="false">(I24-I20)/I29</f>
        <v>3.57546651375051</v>
      </c>
      <c r="J31" s="26" t="n">
        <f aca="false">G31+I31-H31</f>
        <v>7.0149778089634</v>
      </c>
      <c r="K31" s="27"/>
      <c r="L31" s="27"/>
      <c r="M31" s="27"/>
      <c r="N31" s="27"/>
      <c r="O31" s="27"/>
      <c r="P31" s="20" t="s">
        <v>276</v>
      </c>
    </row>
    <row r="32" customFormat="false" ht="15" hidden="false" customHeight="false" outlineLevel="0" collapsed="false">
      <c r="B32" s="6" t="s">
        <v>277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customFormat="false" ht="15" hidden="false" customHeight="false" outlineLevel="0" collapsed="false">
      <c r="B33" s="4" t="s">
        <v>278</v>
      </c>
      <c r="C33" s="17" t="s">
        <v>105</v>
      </c>
      <c r="D33" s="32" t="n">
        <v>52.192</v>
      </c>
      <c r="E33" s="32" t="n">
        <v>36.062</v>
      </c>
      <c r="F33" s="32" t="n">
        <v>36.964</v>
      </c>
      <c r="G33" s="32" t="n">
        <v>37.435</v>
      </c>
      <c r="H33" s="32" t="n">
        <v>18.613</v>
      </c>
      <c r="I33" s="32" t="n">
        <v>17.516</v>
      </c>
      <c r="J33" s="38" t="n">
        <f aca="false">G33+I33-H33</f>
        <v>36.338</v>
      </c>
      <c r="K33" s="22"/>
      <c r="L33" s="22"/>
      <c r="M33" s="22"/>
      <c r="N33" s="22"/>
      <c r="O33" s="22"/>
    </row>
    <row r="34" customFormat="false" ht="15" hidden="false" customHeight="false" outlineLevel="0" collapsed="false">
      <c r="B34" s="4" t="s">
        <v>279</v>
      </c>
      <c r="C34" s="17" t="s">
        <v>105</v>
      </c>
      <c r="D34" s="32" t="n">
        <v>6.507</v>
      </c>
      <c r="E34" s="32" t="n">
        <v>12.625</v>
      </c>
      <c r="F34" s="32" t="n">
        <v>18.806</v>
      </c>
      <c r="G34" s="32" t="n">
        <v>22.663</v>
      </c>
      <c r="H34" s="32" t="n">
        <v>10.884</v>
      </c>
      <c r="I34" s="32" t="n">
        <v>11.203</v>
      </c>
      <c r="J34" s="38" t="n">
        <f aca="false">G34+I34-H34</f>
        <v>22.982</v>
      </c>
      <c r="K34" s="22"/>
      <c r="L34" s="22"/>
      <c r="M34" s="22"/>
      <c r="N34" s="22"/>
      <c r="O34" s="22"/>
    </row>
    <row r="35" customFormat="false" ht="15" hidden="false" customHeight="false" outlineLevel="0" collapsed="false">
      <c r="B35" s="4" t="s">
        <v>280</v>
      </c>
      <c r="C35" s="17" t="s">
        <v>105</v>
      </c>
      <c r="D35" s="38" t="n">
        <f aca="false">D36-D16-D33-D34</f>
        <v>39.01</v>
      </c>
      <c r="E35" s="38" t="n">
        <f aca="false">E36-E16-E33-E34</f>
        <v>30.76</v>
      </c>
      <c r="F35" s="38" t="n">
        <f aca="false">F36-F16-F33-F34</f>
        <v>28.04</v>
      </c>
      <c r="G35" s="38" t="n">
        <f aca="false">G36-G16-G33-G34</f>
        <v>21.841</v>
      </c>
      <c r="H35" s="38" t="n">
        <f aca="false">H36-H16-H33-H34</f>
        <v>11.474</v>
      </c>
      <c r="I35" s="38" t="n">
        <f aca="false">I36-I16-I33-I34</f>
        <v>16.363</v>
      </c>
      <c r="J35" s="38" t="n">
        <f aca="false">J36-J16-J33-J34</f>
        <v>26.73</v>
      </c>
      <c r="K35" s="22"/>
      <c r="L35" s="22"/>
      <c r="M35" s="22"/>
      <c r="N35" s="22"/>
      <c r="O35" s="22"/>
    </row>
    <row r="36" customFormat="false" ht="15" hidden="false" customHeight="false" outlineLevel="0" collapsed="false">
      <c r="B36" s="4" t="s">
        <v>281</v>
      </c>
      <c r="C36" s="17" t="s">
        <v>105</v>
      </c>
      <c r="D36" s="21" t="n">
        <f aca="false">CF!D10</f>
        <v>159.072</v>
      </c>
      <c r="E36" s="21" t="n">
        <f aca="false">CF!E10</f>
        <v>154.079</v>
      </c>
      <c r="F36" s="21" t="n">
        <f aca="false">CF!F10</f>
        <v>143.437</v>
      </c>
      <c r="G36" s="21" t="n">
        <f aca="false">CF!G10</f>
        <v>138.358</v>
      </c>
      <c r="H36" s="21" t="n">
        <f aca="false">CF!H10</f>
        <v>68.943</v>
      </c>
      <c r="I36" s="21" t="n">
        <f aca="false">CF!I10</f>
        <v>74.761</v>
      </c>
      <c r="J36" s="21" t="n">
        <f aca="false">CF!J10</f>
        <v>144.176</v>
      </c>
      <c r="K36" s="22"/>
      <c r="L36" s="22"/>
      <c r="M36" s="22"/>
      <c r="N36" s="22"/>
      <c r="O36" s="22"/>
      <c r="P36" s="20" t="s">
        <v>282</v>
      </c>
    </row>
    <row r="37" customFormat="false" ht="15" hidden="false" customHeight="false" outlineLevel="0" collapsed="false">
      <c r="B37" s="39" t="s">
        <v>283</v>
      </c>
      <c r="C37" s="40" t="s">
        <v>105</v>
      </c>
      <c r="D37" s="41" t="n">
        <f aca="false">D17+D36</f>
        <v>373.321</v>
      </c>
      <c r="E37" s="41" t="n">
        <f aca="false">E17+E36</f>
        <v>372.616</v>
      </c>
      <c r="F37" s="41" t="n">
        <f aca="false">F17+F36</f>
        <v>442.963</v>
      </c>
      <c r="G37" s="41" t="n">
        <f aca="false">G17+G36</f>
        <v>496.034</v>
      </c>
      <c r="H37" s="41" t="n">
        <f aca="false">H17+H36</f>
        <v>253.712</v>
      </c>
      <c r="I37" s="41" t="n">
        <f aca="false">I17+I36</f>
        <v>269.668</v>
      </c>
      <c r="J37" s="41" t="n">
        <f aca="false">J17+J36</f>
        <v>511.99</v>
      </c>
      <c r="K37" s="42"/>
      <c r="L37" s="42"/>
      <c r="M37" s="42"/>
      <c r="N37" s="42"/>
      <c r="O37" s="42"/>
      <c r="P37" s="20" t="s">
        <v>284</v>
      </c>
    </row>
    <row r="38" customFormat="false" ht="15" hidden="false" customHeight="false" outlineLevel="0" collapsed="false">
      <c r="B38" s="4" t="s">
        <v>285</v>
      </c>
      <c r="C38" s="17" t="s">
        <v>85</v>
      </c>
      <c r="D38" s="18" t="n">
        <f aca="false">D37/D8</f>
        <v>0.201772885584509</v>
      </c>
      <c r="E38" s="18" t="n">
        <f aca="false">E37/E8</f>
        <v>0.190913697495224</v>
      </c>
      <c r="F38" s="18" t="n">
        <f aca="false">F37/F8</f>
        <v>0.207204779860446</v>
      </c>
      <c r="G38" s="18" t="n">
        <f aca="false">G37/G8</f>
        <v>0.212676539441076</v>
      </c>
      <c r="H38" s="18" t="n">
        <f aca="false">H37/H8</f>
        <v>0.218475787965369</v>
      </c>
      <c r="I38" s="18" t="n">
        <f aca="false">I37/I8</f>
        <v>0.21426045944737</v>
      </c>
      <c r="J38" s="18" t="n">
        <f aca="false">J37/J8</f>
        <v>0.210725217592442</v>
      </c>
      <c r="K38" s="19"/>
      <c r="L38" s="19"/>
      <c r="M38" s="19"/>
      <c r="N38" s="19"/>
      <c r="O38" s="19"/>
    </row>
    <row r="39" customFormat="false" ht="15" hidden="false" customHeight="false" outlineLevel="0" collapsed="false">
      <c r="B39" s="4" t="s">
        <v>286</v>
      </c>
      <c r="C39" s="17" t="s">
        <v>105</v>
      </c>
      <c r="D39" s="21" t="n">
        <f aca="false">CF!D11</f>
        <v>102.985</v>
      </c>
      <c r="E39" s="21" t="n">
        <f aca="false">CF!E11</f>
        <v>108.338</v>
      </c>
      <c r="F39" s="21" t="n">
        <f aca="false">CF!F11</f>
        <v>122.813</v>
      </c>
      <c r="G39" s="21" t="n">
        <f aca="false">CF!G11</f>
        <v>151.276</v>
      </c>
      <c r="H39" s="21" t="n">
        <f aca="false">CF!H11</f>
        <v>75.962</v>
      </c>
      <c r="I39" s="21" t="n">
        <f aca="false">CF!I11</f>
        <v>80.821</v>
      </c>
      <c r="J39" s="21" t="n">
        <f aca="false">CF!J11</f>
        <v>156.135</v>
      </c>
      <c r="K39" s="22"/>
      <c r="L39" s="22"/>
      <c r="M39" s="22"/>
      <c r="N39" s="22"/>
      <c r="O39" s="22"/>
    </row>
    <row r="40" customFormat="false" ht="15" hidden="false" customHeight="false" outlineLevel="0" collapsed="false">
      <c r="B40" s="4" t="s">
        <v>287</v>
      </c>
      <c r="C40" s="17" t="s">
        <v>105</v>
      </c>
      <c r="D40" s="38" t="n">
        <f aca="false">D37+D39</f>
        <v>476.306</v>
      </c>
      <c r="E40" s="38" t="n">
        <f aca="false">E37+E39</f>
        <v>480.954</v>
      </c>
      <c r="F40" s="38" t="n">
        <f aca="false">F37+F39</f>
        <v>565.776</v>
      </c>
      <c r="G40" s="38" t="n">
        <f aca="false">G37+G39</f>
        <v>647.31</v>
      </c>
      <c r="H40" s="38" t="n">
        <f aca="false">H37+H39</f>
        <v>329.674</v>
      </c>
      <c r="I40" s="38" t="n">
        <f aca="false">I37+I39</f>
        <v>350.489</v>
      </c>
      <c r="J40" s="38" t="n">
        <f aca="false">J37+J39</f>
        <v>668.125</v>
      </c>
      <c r="K40" s="22"/>
      <c r="L40" s="22"/>
      <c r="M40" s="22"/>
      <c r="N40" s="22"/>
      <c r="O40" s="22"/>
      <c r="P40" s="20" t="s">
        <v>288</v>
      </c>
    </row>
    <row r="42" customFormat="false" ht="15" hidden="false" customHeight="false" outlineLevel="0" collapsed="false">
      <c r="B42" s="6" t="s">
        <v>289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customFormat="false" ht="15" hidden="false" customHeight="false" outlineLevel="0" collapsed="false">
      <c r="B43" s="4" t="s">
        <v>290</v>
      </c>
      <c r="C43" s="17" t="s">
        <v>105</v>
      </c>
      <c r="D43" s="32" t="n">
        <v>783.863</v>
      </c>
      <c r="E43" s="32" t="n">
        <v>861.099</v>
      </c>
      <c r="F43" s="32" t="n">
        <v>935.761</v>
      </c>
      <c r="G43" s="32" t="n">
        <v>1083.7</v>
      </c>
      <c r="H43" s="32" t="n">
        <v>540.265</v>
      </c>
      <c r="I43" s="32" t="n">
        <v>603.491</v>
      </c>
    </row>
    <row r="44" customFormat="false" ht="15" hidden="false" customHeight="false" outlineLevel="0" collapsed="false">
      <c r="B44" s="4" t="s">
        <v>291</v>
      </c>
      <c r="C44" s="17" t="s">
        <v>105</v>
      </c>
      <c r="D44" s="38" t="n">
        <f aca="false">D11-D43</f>
        <v>0</v>
      </c>
      <c r="E44" s="38" t="n">
        <f aca="false">E11-E43</f>
        <v>0</v>
      </c>
      <c r="F44" s="38" t="n">
        <f aca="false">F11-F43</f>
        <v>0</v>
      </c>
      <c r="G44" s="38" t="n">
        <f aca="false">G11-G43</f>
        <v>0</v>
      </c>
      <c r="H44" s="38" t="n">
        <f aca="false">H11-H43</f>
        <v>0</v>
      </c>
      <c r="I44" s="38" t="n">
        <f aca="false">I11-I43</f>
        <v>0</v>
      </c>
    </row>
    <row r="45" customFormat="false" ht="15" hidden="false" customHeight="false" outlineLevel="0" collapsed="false">
      <c r="B45" s="4" t="s">
        <v>292</v>
      </c>
      <c r="C45" s="17" t="s">
        <v>105</v>
      </c>
      <c r="D45" s="32" t="n">
        <v>214.249</v>
      </c>
      <c r="E45" s="32" t="n">
        <v>218.537</v>
      </c>
      <c r="F45" s="32" t="n">
        <v>299.526</v>
      </c>
      <c r="G45" s="32" t="n">
        <v>357.676</v>
      </c>
      <c r="H45" s="32" t="n">
        <v>184.769</v>
      </c>
      <c r="I45" s="32" t="n">
        <v>194.907</v>
      </c>
    </row>
    <row r="46" customFormat="false" ht="15" hidden="false" customHeight="false" outlineLevel="0" collapsed="false">
      <c r="B46" s="4" t="s">
        <v>291</v>
      </c>
      <c r="C46" s="17" t="s">
        <v>105</v>
      </c>
      <c r="D46" s="38" t="n">
        <f aca="false">D17-D45</f>
        <v>0</v>
      </c>
      <c r="E46" s="38" t="n">
        <f aca="false">E17-E45</f>
        <v>0</v>
      </c>
      <c r="F46" s="38" t="n">
        <f aca="false">F17-F45</f>
        <v>0</v>
      </c>
      <c r="G46" s="38" t="n">
        <f aca="false">G17-G45</f>
        <v>0</v>
      </c>
      <c r="H46" s="38" t="n">
        <f aca="false">H17-H45</f>
        <v>0</v>
      </c>
      <c r="I46" s="38" t="n">
        <f aca="false">I17-I45</f>
        <v>0</v>
      </c>
    </row>
    <row r="47" customFormat="false" ht="15" hidden="false" customHeight="false" outlineLevel="0" collapsed="false">
      <c r="B47" s="4" t="s">
        <v>293</v>
      </c>
      <c r="C47" s="17" t="s">
        <v>105</v>
      </c>
      <c r="D47" s="32" t="n">
        <v>187.593</v>
      </c>
      <c r="E47" s="32" t="n">
        <v>198.236</v>
      </c>
      <c r="F47" s="32" t="n">
        <v>308.167</v>
      </c>
      <c r="G47" s="32" t="n">
        <v>390.318</v>
      </c>
      <c r="H47" s="32" t="n">
        <v>197.803</v>
      </c>
      <c r="I47" s="32" t="n">
        <v>227.053</v>
      </c>
    </row>
    <row r="48" customFormat="false" ht="15" hidden="false" customHeight="false" outlineLevel="0" collapsed="false">
      <c r="B48" s="4" t="s">
        <v>291</v>
      </c>
      <c r="C48" s="17" t="s">
        <v>105</v>
      </c>
      <c r="D48" s="38" t="n">
        <f aca="false">D22-D47</f>
        <v>0</v>
      </c>
      <c r="E48" s="38" t="n">
        <f aca="false">E22-E47</f>
        <v>0</v>
      </c>
      <c r="F48" s="38" t="n">
        <f aca="false">F22-F47</f>
        <v>0</v>
      </c>
      <c r="G48" s="38" t="n">
        <f aca="false">G22-G47</f>
        <v>0</v>
      </c>
      <c r="H48" s="38" t="n">
        <f aca="false">H22-H47</f>
        <v>0</v>
      </c>
      <c r="I48" s="38" t="n">
        <f aca="false">I22-I47</f>
        <v>0</v>
      </c>
    </row>
    <row r="49" customFormat="false" ht="15" hidden="false" customHeight="false" outlineLevel="0" collapsed="false">
      <c r="B49" s="4" t="s">
        <v>294</v>
      </c>
      <c r="C49" s="17" t="s">
        <v>105</v>
      </c>
      <c r="D49" s="32" t="n">
        <v>164.24</v>
      </c>
      <c r="E49" s="32" t="n">
        <v>165.919</v>
      </c>
      <c r="F49" s="32" t="n">
        <v>263.026</v>
      </c>
      <c r="G49" s="32" t="n">
        <v>315.603</v>
      </c>
      <c r="H49" s="32" t="n">
        <v>165.679</v>
      </c>
      <c r="I49" s="32" t="n">
        <v>174.692</v>
      </c>
    </row>
    <row r="50" customFormat="false" ht="15" hidden="false" customHeight="false" outlineLevel="0" collapsed="false">
      <c r="B50" s="4" t="s">
        <v>291</v>
      </c>
      <c r="C50" s="17" t="s">
        <v>105</v>
      </c>
      <c r="D50" s="38" t="n">
        <f aca="false">D24-D49</f>
        <v>0</v>
      </c>
      <c r="E50" s="38" t="n">
        <f aca="false">E24-E49</f>
        <v>0</v>
      </c>
      <c r="F50" s="38" t="n">
        <f aca="false">F24-F49</f>
        <v>0</v>
      </c>
      <c r="G50" s="38" t="n">
        <f aca="false">G24-G49</f>
        <v>0</v>
      </c>
      <c r="H50" s="38" t="n">
        <f aca="false">H24-H49</f>
        <v>0</v>
      </c>
      <c r="I50" s="38" t="n">
        <f aca="false">I24-I49</f>
        <v>0</v>
      </c>
    </row>
    <row r="51" customFormat="false" ht="15" hidden="false" customHeight="false" outlineLevel="0" collapsed="false">
      <c r="B51" s="4" t="s">
        <v>295</v>
      </c>
      <c r="C51" s="17" t="s">
        <v>142</v>
      </c>
      <c r="D51" s="30" t="n">
        <v>3.87</v>
      </c>
      <c r="E51" s="30" t="n">
        <v>3.88</v>
      </c>
      <c r="F51" s="30" t="n">
        <v>6.05</v>
      </c>
      <c r="G51" s="30" t="n">
        <v>7.2</v>
      </c>
      <c r="H51" s="30" t="n">
        <v>3.76</v>
      </c>
      <c r="I51" s="30" t="n">
        <v>4.17</v>
      </c>
    </row>
    <row r="52" customFormat="false" ht="15" hidden="false" customHeight="false" outlineLevel="0" collapsed="false">
      <c r="B52" s="4" t="s">
        <v>291</v>
      </c>
      <c r="C52" s="17" t="s">
        <v>142</v>
      </c>
      <c r="D52" s="26" t="n">
        <f aca="false">D30-D51</f>
        <v>0.00367626594967074</v>
      </c>
      <c r="E52" s="26" t="n">
        <f aca="false">E30-E51</f>
        <v>-0.000577988730155354</v>
      </c>
      <c r="F52" s="26" t="n">
        <f aca="false">F30-F51</f>
        <v>-0.00300825344276578</v>
      </c>
      <c r="G52" s="26" t="n">
        <f aca="false">G30-G51</f>
        <v>0.0035743631881715</v>
      </c>
      <c r="H52" s="26" t="n">
        <f aca="false">H30-H51</f>
        <v>0.00406306797527956</v>
      </c>
      <c r="I52" s="26" t="n">
        <f aca="false">I30-I51</f>
        <v>0.00394213079110184</v>
      </c>
    </row>
  </sheetData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IC Simulator · Tyler Technologies (TYL) · Advanced · Practice use only ·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P6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3" min="3" style="0" width="9"/>
    <col collapsed="false" customWidth="true" hidden="false" outlineLevel="0" max="15" min="4" style="0" width="11.5"/>
    <col collapsed="false" customWidth="true" hidden="false" outlineLevel="0" max="16" min="16" style="0" width="70"/>
  </cols>
  <sheetData>
    <row r="1" customFormat="false" ht="17.35" hidden="false" customHeight="false" outlineLevel="0" collapsed="false">
      <c r="B1" s="9" t="s">
        <v>296</v>
      </c>
    </row>
    <row r="2" customFormat="false" ht="15" hidden="false" customHeight="false" outlineLevel="0" collapsed="false">
      <c r="B2" s="10" t="s">
        <v>297</v>
      </c>
    </row>
    <row r="4" customFormat="false" ht="15" hidden="false" customHeight="false" outlineLevel="0" collapsed="false">
      <c r="B4" s="11" t="s">
        <v>67</v>
      </c>
      <c r="C4" s="11" t="s">
        <v>12</v>
      </c>
      <c r="D4" s="12" t="s">
        <v>68</v>
      </c>
      <c r="E4" s="12" t="s">
        <v>69</v>
      </c>
      <c r="F4" s="12" t="s">
        <v>70</v>
      </c>
      <c r="G4" s="12" t="s">
        <v>71</v>
      </c>
      <c r="H4" s="12" t="s">
        <v>72</v>
      </c>
      <c r="I4" s="12" t="s">
        <v>73</v>
      </c>
      <c r="J4" s="12" t="s">
        <v>74</v>
      </c>
      <c r="K4" s="12" t="s">
        <v>75</v>
      </c>
      <c r="L4" s="12" t="s">
        <v>76</v>
      </c>
      <c r="M4" s="12" t="s">
        <v>77</v>
      </c>
      <c r="N4" s="12" t="s">
        <v>78</v>
      </c>
      <c r="O4" s="12" t="s">
        <v>79</v>
      </c>
      <c r="P4" s="11" t="s">
        <v>80</v>
      </c>
    </row>
    <row r="5" customFormat="false" ht="15" hidden="false" customHeight="false" outlineLevel="0" collapsed="false">
      <c r="B5" s="13" t="s">
        <v>81</v>
      </c>
      <c r="C5" s="14"/>
      <c r="D5" s="15" t="n">
        <v>44926</v>
      </c>
      <c r="E5" s="15" t="n">
        <v>45291</v>
      </c>
      <c r="F5" s="15" t="n">
        <v>45657</v>
      </c>
      <c r="G5" s="15" t="n">
        <v>46022</v>
      </c>
      <c r="H5" s="15" t="n">
        <v>45838</v>
      </c>
      <c r="I5" s="15" t="n">
        <v>46203</v>
      </c>
      <c r="J5" s="15" t="n">
        <v>46203</v>
      </c>
      <c r="K5" s="15" t="n">
        <v>46387</v>
      </c>
      <c r="L5" s="15" t="n">
        <v>46752</v>
      </c>
      <c r="M5" s="15" t="n">
        <v>47118</v>
      </c>
      <c r="N5" s="15" t="n">
        <v>47483</v>
      </c>
      <c r="O5" s="15" t="n">
        <v>47848</v>
      </c>
      <c r="P5" s="14"/>
    </row>
    <row r="6" customFormat="false" ht="15" hidden="false" customHeight="false" outlineLevel="0" collapsed="false">
      <c r="B6" s="13" t="s">
        <v>82</v>
      </c>
      <c r="C6" s="14"/>
      <c r="D6" s="16" t="n">
        <v>52</v>
      </c>
      <c r="E6" s="16" t="n">
        <v>52</v>
      </c>
      <c r="F6" s="16" t="n">
        <v>52</v>
      </c>
      <c r="G6" s="16" t="n">
        <v>52</v>
      </c>
      <c r="H6" s="16" t="n">
        <v>26</v>
      </c>
      <c r="I6" s="16" t="n">
        <v>26</v>
      </c>
      <c r="J6" s="16" t="n">
        <v>52</v>
      </c>
      <c r="K6" s="16" t="n">
        <v>52</v>
      </c>
      <c r="L6" s="16" t="n">
        <v>52</v>
      </c>
      <c r="M6" s="16" t="n">
        <v>52</v>
      </c>
      <c r="N6" s="16" t="n">
        <v>52</v>
      </c>
      <c r="O6" s="16" t="n">
        <v>52</v>
      </c>
      <c r="P6" s="14"/>
    </row>
    <row r="8" customFormat="false" ht="15" hidden="false" customHeight="false" outlineLevel="0" collapsed="false">
      <c r="B8" s="6" t="s">
        <v>298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customFormat="false" ht="15" hidden="false" customHeight="false" outlineLevel="0" collapsed="false">
      <c r="B9" s="4" t="s">
        <v>299</v>
      </c>
      <c r="C9" s="17" t="s">
        <v>105</v>
      </c>
      <c r="D9" s="32" t="n">
        <v>173.857</v>
      </c>
      <c r="E9" s="32" t="n">
        <v>165.493</v>
      </c>
      <c r="F9" s="32" t="n">
        <v>744.721</v>
      </c>
      <c r="G9" s="32" t="n">
        <v>1015.4</v>
      </c>
      <c r="H9" s="32" t="n">
        <v>787.447</v>
      </c>
      <c r="I9" s="32" t="n">
        <v>895.353</v>
      </c>
      <c r="J9" s="38" t="n">
        <f aca="false">I9</f>
        <v>895.353</v>
      </c>
      <c r="K9" s="22"/>
      <c r="L9" s="22"/>
      <c r="M9" s="22"/>
      <c r="N9" s="22"/>
      <c r="O9" s="22"/>
      <c r="P9" s="20" t="s">
        <v>300</v>
      </c>
    </row>
    <row r="10" customFormat="false" ht="15" hidden="false" customHeight="false" outlineLevel="0" collapsed="false">
      <c r="B10" s="4" t="s">
        <v>301</v>
      </c>
      <c r="C10" s="17" t="s">
        <v>105</v>
      </c>
      <c r="D10" s="32" t="n">
        <v>37.03</v>
      </c>
      <c r="E10" s="32" t="n">
        <v>10.385</v>
      </c>
      <c r="F10" s="32" t="n">
        <v>23.257</v>
      </c>
      <c r="G10" s="32" t="n">
        <v>81.8</v>
      </c>
      <c r="H10" s="32" t="n">
        <v>104.899</v>
      </c>
      <c r="I10" s="32" t="n">
        <v>74.682</v>
      </c>
      <c r="J10" s="38" t="n">
        <f aca="false">I10</f>
        <v>74.682</v>
      </c>
      <c r="K10" s="22"/>
      <c r="L10" s="22"/>
      <c r="M10" s="22"/>
      <c r="N10" s="22"/>
      <c r="O10" s="22"/>
      <c r="P10" s="20" t="s">
        <v>302</v>
      </c>
    </row>
    <row r="11" customFormat="false" ht="15" hidden="false" customHeight="false" outlineLevel="0" collapsed="false">
      <c r="B11" s="4" t="s">
        <v>303</v>
      </c>
      <c r="C11" s="17" t="s">
        <v>105</v>
      </c>
      <c r="D11" s="32" t="n">
        <v>577.257</v>
      </c>
      <c r="E11" s="32" t="n">
        <v>619.704</v>
      </c>
      <c r="F11" s="32" t="n">
        <v>587.634</v>
      </c>
      <c r="G11" s="32" t="n">
        <v>638.798</v>
      </c>
      <c r="H11" s="32" t="n">
        <v>714.413</v>
      </c>
      <c r="I11" s="32" t="n">
        <v>724.866</v>
      </c>
      <c r="J11" s="38" t="n">
        <f aca="false">I11</f>
        <v>724.866</v>
      </c>
      <c r="K11" s="22"/>
      <c r="L11" s="22"/>
      <c r="M11" s="22"/>
      <c r="N11" s="22"/>
      <c r="O11" s="22"/>
    </row>
    <row r="12" customFormat="false" ht="15" hidden="false" customHeight="false" outlineLevel="0" collapsed="false">
      <c r="B12" s="4" t="s">
        <v>304</v>
      </c>
      <c r="C12" s="17" t="s">
        <v>105</v>
      </c>
      <c r="D12" s="32" t="n">
        <v>50.859</v>
      </c>
      <c r="E12" s="32" t="n">
        <v>54.7</v>
      </c>
      <c r="F12" s="32" t="n">
        <v>65.135</v>
      </c>
      <c r="G12" s="32" t="n">
        <v>74.734</v>
      </c>
      <c r="H12" s="32" t="n">
        <v>91.096</v>
      </c>
      <c r="I12" s="32" t="n">
        <v>87.031</v>
      </c>
      <c r="J12" s="38" t="n">
        <f aca="false">I12</f>
        <v>87.031</v>
      </c>
      <c r="K12" s="22"/>
      <c r="L12" s="22"/>
      <c r="M12" s="22"/>
      <c r="N12" s="22"/>
      <c r="O12" s="22"/>
    </row>
    <row r="13" customFormat="false" ht="15" hidden="false" customHeight="false" outlineLevel="0" collapsed="false">
      <c r="B13" s="4" t="s">
        <v>305</v>
      </c>
      <c r="C13" s="17" t="s">
        <v>105</v>
      </c>
      <c r="D13" s="32" t="n">
        <v>0</v>
      </c>
      <c r="E13" s="32" t="n">
        <v>0</v>
      </c>
      <c r="F13" s="32" t="n">
        <v>11.975</v>
      </c>
      <c r="G13" s="32" t="n">
        <v>23.748</v>
      </c>
      <c r="H13" s="32" t="n">
        <v>17.601</v>
      </c>
      <c r="I13" s="32" t="n">
        <v>23.805</v>
      </c>
      <c r="J13" s="38" t="n">
        <f aca="false">I13</f>
        <v>23.805</v>
      </c>
      <c r="K13" s="22"/>
      <c r="L13" s="22"/>
      <c r="M13" s="22"/>
      <c r="N13" s="22"/>
      <c r="O13" s="22"/>
      <c r="P13" s="20" t="s">
        <v>306</v>
      </c>
    </row>
    <row r="14" customFormat="false" ht="15" hidden="false" customHeight="false" outlineLevel="0" collapsed="false">
      <c r="B14" s="4" t="s">
        <v>307</v>
      </c>
      <c r="C14" s="17" t="s">
        <v>105</v>
      </c>
      <c r="D14" s="32" t="n">
        <v>8.239</v>
      </c>
      <c r="E14" s="32" t="n">
        <v>10.303</v>
      </c>
      <c r="F14" s="32" t="n">
        <v>8.057</v>
      </c>
      <c r="G14" s="32" t="n">
        <v>9.408</v>
      </c>
      <c r="H14" s="32" t="n">
        <v>8.236</v>
      </c>
      <c r="I14" s="32" t="n">
        <v>11.385</v>
      </c>
      <c r="J14" s="38" t="n">
        <f aca="false">I14</f>
        <v>11.385</v>
      </c>
      <c r="K14" s="22"/>
      <c r="L14" s="22"/>
      <c r="M14" s="22"/>
      <c r="N14" s="22"/>
      <c r="O14" s="22"/>
    </row>
    <row r="15" customFormat="false" ht="15" hidden="false" customHeight="false" outlineLevel="0" collapsed="false">
      <c r="B15" s="39" t="s">
        <v>308</v>
      </c>
      <c r="C15" s="40" t="s">
        <v>105</v>
      </c>
      <c r="D15" s="41" t="n">
        <f aca="false">SUM(D9:D14)</f>
        <v>847.242</v>
      </c>
      <c r="E15" s="41" t="n">
        <f aca="false">SUM(E9:E14)</f>
        <v>860.585</v>
      </c>
      <c r="F15" s="41" t="n">
        <f aca="false">SUM(F9:F14)</f>
        <v>1440.779</v>
      </c>
      <c r="G15" s="41" t="n">
        <f aca="false">SUM(G9:G14)</f>
        <v>1843.888</v>
      </c>
      <c r="H15" s="41" t="n">
        <f aca="false">SUM(H9:H14)</f>
        <v>1723.692</v>
      </c>
      <c r="I15" s="41" t="n">
        <f aca="false">SUM(I9:I14)</f>
        <v>1817.122</v>
      </c>
      <c r="J15" s="41" t="n">
        <f aca="false">SUM(J9:J14)</f>
        <v>1817.122</v>
      </c>
      <c r="K15" s="42"/>
      <c r="L15" s="42"/>
      <c r="M15" s="42"/>
      <c r="N15" s="42"/>
      <c r="O15" s="42"/>
    </row>
    <row r="16" customFormat="false" ht="15" hidden="false" customHeight="false" outlineLevel="0" collapsed="false">
      <c r="B16" s="4" t="s">
        <v>309</v>
      </c>
      <c r="C16" s="17" t="s">
        <v>105</v>
      </c>
      <c r="D16" s="32" t="n">
        <v>8.271</v>
      </c>
      <c r="E16" s="32" t="n">
        <v>8.988</v>
      </c>
      <c r="F16" s="32" t="n">
        <v>7.153</v>
      </c>
      <c r="G16" s="32" t="n">
        <v>5.968</v>
      </c>
      <c r="H16" s="32" t="n">
        <v>7.015</v>
      </c>
      <c r="I16" s="32" t="n">
        <v>10.42</v>
      </c>
      <c r="J16" s="38" t="n">
        <f aca="false">I16</f>
        <v>10.42</v>
      </c>
      <c r="K16" s="22"/>
      <c r="L16" s="22"/>
      <c r="M16" s="22"/>
      <c r="N16" s="22"/>
      <c r="O16" s="22"/>
    </row>
    <row r="17" customFormat="false" ht="15" hidden="false" customHeight="false" outlineLevel="0" collapsed="false">
      <c r="B17" s="4" t="s">
        <v>310</v>
      </c>
      <c r="C17" s="17" t="s">
        <v>105</v>
      </c>
      <c r="D17" s="32" t="n">
        <v>50.989</v>
      </c>
      <c r="E17" s="32" t="n">
        <v>39.039</v>
      </c>
      <c r="F17" s="32" t="n">
        <v>31.433</v>
      </c>
      <c r="G17" s="32" t="n">
        <v>35.602</v>
      </c>
      <c r="H17" s="32" t="n">
        <v>34.723</v>
      </c>
      <c r="I17" s="32" t="n">
        <v>38.374</v>
      </c>
      <c r="J17" s="38" t="n">
        <f aca="false">I17</f>
        <v>38.374</v>
      </c>
      <c r="K17" s="22"/>
      <c r="L17" s="22"/>
      <c r="M17" s="22"/>
      <c r="N17" s="22"/>
      <c r="O17" s="22"/>
      <c r="P17" s="20" t="s">
        <v>311</v>
      </c>
    </row>
    <row r="18" customFormat="false" ht="15" hidden="false" customHeight="false" outlineLevel="0" collapsed="false">
      <c r="B18" s="4" t="s">
        <v>312</v>
      </c>
      <c r="C18" s="17" t="s">
        <v>105</v>
      </c>
      <c r="D18" s="32" t="n">
        <v>172.786</v>
      </c>
      <c r="E18" s="32" t="n">
        <v>169.72</v>
      </c>
      <c r="F18" s="32" t="n">
        <v>163.775</v>
      </c>
      <c r="G18" s="32" t="n">
        <v>160.355</v>
      </c>
      <c r="H18" s="32" t="n">
        <v>161.293</v>
      </c>
      <c r="I18" s="32" t="n">
        <v>159.462</v>
      </c>
      <c r="J18" s="38" t="n">
        <f aca="false">I18</f>
        <v>159.462</v>
      </c>
      <c r="K18" s="22"/>
      <c r="L18" s="22"/>
      <c r="M18" s="22"/>
      <c r="N18" s="22"/>
      <c r="O18" s="22"/>
      <c r="P18" s="20" t="s">
        <v>313</v>
      </c>
    </row>
    <row r="19" customFormat="false" ht="15" hidden="false" customHeight="false" outlineLevel="0" collapsed="false">
      <c r="B19" s="4" t="s">
        <v>314</v>
      </c>
      <c r="C19" s="17" t="s">
        <v>105</v>
      </c>
      <c r="D19" s="32" t="n">
        <v>48.189</v>
      </c>
      <c r="E19" s="32" t="n">
        <v>67.124</v>
      </c>
      <c r="F19" s="32" t="n">
        <v>76.117</v>
      </c>
      <c r="G19" s="32" t="n">
        <v>68.371</v>
      </c>
      <c r="H19" s="32" t="n">
        <v>74.719</v>
      </c>
      <c r="I19" s="32" t="n">
        <v>53.642</v>
      </c>
      <c r="J19" s="38" t="n">
        <f aca="false">I19</f>
        <v>53.642</v>
      </c>
      <c r="K19" s="22"/>
      <c r="L19" s="22"/>
      <c r="M19" s="22"/>
      <c r="N19" s="22"/>
      <c r="O19" s="22"/>
    </row>
    <row r="20" customFormat="false" ht="15" hidden="false" customHeight="false" outlineLevel="0" collapsed="false">
      <c r="B20" s="4" t="s">
        <v>315</v>
      </c>
      <c r="C20" s="17" t="s">
        <v>105</v>
      </c>
      <c r="D20" s="32" t="n">
        <v>2489.308</v>
      </c>
      <c r="E20" s="32" t="n">
        <v>2532.109</v>
      </c>
      <c r="F20" s="32" t="n">
        <v>2531.653</v>
      </c>
      <c r="G20" s="32" t="n">
        <v>2590.013</v>
      </c>
      <c r="H20" s="32" t="n">
        <v>2542.019</v>
      </c>
      <c r="I20" s="32" t="n">
        <v>2754.742</v>
      </c>
      <c r="J20" s="38" t="n">
        <f aca="false">I20</f>
        <v>2754.742</v>
      </c>
      <c r="K20" s="22"/>
      <c r="L20" s="22"/>
      <c r="M20" s="22"/>
      <c r="N20" s="22"/>
      <c r="O20" s="22"/>
      <c r="P20" s="20" t="s">
        <v>316</v>
      </c>
    </row>
    <row r="21" customFormat="false" ht="15" hidden="false" customHeight="false" outlineLevel="0" collapsed="false">
      <c r="B21" s="4" t="s">
        <v>317</v>
      </c>
      <c r="C21" s="17" t="s">
        <v>105</v>
      </c>
      <c r="D21" s="32" t="n">
        <v>1002.164</v>
      </c>
      <c r="E21" s="32" t="n">
        <v>928.87</v>
      </c>
      <c r="F21" s="32" t="n">
        <v>831.966</v>
      </c>
      <c r="G21" s="32" t="n">
        <v>780.414</v>
      </c>
      <c r="H21" s="32" t="n">
        <v>793.725</v>
      </c>
      <c r="I21" s="32" t="n">
        <v>846.206</v>
      </c>
      <c r="J21" s="38" t="n">
        <f aca="false">I21</f>
        <v>846.206</v>
      </c>
      <c r="K21" s="22"/>
      <c r="L21" s="22"/>
      <c r="M21" s="22"/>
      <c r="N21" s="22"/>
      <c r="O21" s="22"/>
    </row>
    <row r="22" customFormat="false" ht="15" hidden="false" customHeight="false" outlineLevel="0" collapsed="false">
      <c r="B22" s="4" t="s">
        <v>318</v>
      </c>
      <c r="C22" s="17" t="s">
        <v>105</v>
      </c>
      <c r="D22" s="32" t="n">
        <v>18.508</v>
      </c>
      <c r="E22" s="32" t="n">
        <v>7.046</v>
      </c>
      <c r="F22" s="32" t="n">
        <v>10.758</v>
      </c>
      <c r="G22" s="32" t="n">
        <v>60.698</v>
      </c>
      <c r="H22" s="32" t="n">
        <v>2.994</v>
      </c>
      <c r="I22" s="32" t="n">
        <v>45.232</v>
      </c>
      <c r="J22" s="38" t="n">
        <f aca="false">I22</f>
        <v>45.232</v>
      </c>
      <c r="K22" s="22"/>
      <c r="L22" s="22"/>
      <c r="M22" s="22"/>
      <c r="N22" s="22"/>
      <c r="O22" s="22"/>
    </row>
    <row r="23" customFormat="false" ht="15" hidden="false" customHeight="false" outlineLevel="0" collapsed="false">
      <c r="B23" s="4" t="s">
        <v>319</v>
      </c>
      <c r="C23" s="17" t="s">
        <v>105</v>
      </c>
      <c r="D23" s="32" t="n">
        <v>49.96</v>
      </c>
      <c r="E23" s="32" t="n">
        <v>63.182</v>
      </c>
      <c r="F23" s="32" t="n">
        <v>86.381</v>
      </c>
      <c r="G23" s="32" t="n">
        <v>93.599</v>
      </c>
      <c r="H23" s="32" t="n">
        <v>85.575</v>
      </c>
      <c r="I23" s="32" t="n">
        <v>88.376</v>
      </c>
      <c r="J23" s="38" t="n">
        <f aca="false">I23</f>
        <v>88.376</v>
      </c>
      <c r="K23" s="22"/>
      <c r="L23" s="22"/>
      <c r="M23" s="22"/>
      <c r="N23" s="22"/>
      <c r="O23" s="22"/>
      <c r="P23" s="20" t="s">
        <v>320</v>
      </c>
    </row>
    <row r="24" customFormat="false" ht="15" hidden="false" customHeight="false" outlineLevel="0" collapsed="false">
      <c r="B24" s="39" t="s">
        <v>321</v>
      </c>
      <c r="C24" s="40" t="s">
        <v>105</v>
      </c>
      <c r="D24" s="41" t="n">
        <f aca="false">D15+SUM(D16:D23)</f>
        <v>4687.417</v>
      </c>
      <c r="E24" s="41" t="n">
        <f aca="false">E15+SUM(E16:E23)</f>
        <v>4676.663</v>
      </c>
      <c r="F24" s="41" t="n">
        <f aca="false">F15+SUM(F16:F23)</f>
        <v>5180.015</v>
      </c>
      <c r="G24" s="41" t="n">
        <f aca="false">G15+SUM(G16:G23)</f>
        <v>5638.908</v>
      </c>
      <c r="H24" s="41" t="n">
        <f aca="false">H15+SUM(H16:H23)</f>
        <v>5425.755</v>
      </c>
      <c r="I24" s="41" t="n">
        <f aca="false">I15+SUM(I16:I23)</f>
        <v>5813.576</v>
      </c>
      <c r="J24" s="41" t="n">
        <f aca="false">J15+SUM(J16:J23)</f>
        <v>5813.576</v>
      </c>
      <c r="K24" s="42"/>
      <c r="L24" s="42"/>
      <c r="M24" s="42"/>
      <c r="N24" s="42"/>
      <c r="O24" s="42"/>
    </row>
    <row r="25" customFormat="false" ht="15" hidden="false" customHeight="false" outlineLevel="0" collapsed="false">
      <c r="B25" s="6" t="s">
        <v>322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customFormat="false" ht="15" hidden="false" customHeight="false" outlineLevel="0" collapsed="false">
      <c r="B26" s="4" t="s">
        <v>323</v>
      </c>
      <c r="C26" s="17" t="s">
        <v>105</v>
      </c>
      <c r="D26" s="32" t="n">
        <v>104.813</v>
      </c>
      <c r="E26" s="32" t="n">
        <v>146.339</v>
      </c>
      <c r="F26" s="32" t="n">
        <v>156.817</v>
      </c>
      <c r="G26" s="32" t="n">
        <v>174.653</v>
      </c>
      <c r="H26" s="32" t="n">
        <v>171.582</v>
      </c>
      <c r="I26" s="32" t="n">
        <v>178.6</v>
      </c>
      <c r="J26" s="38" t="n">
        <f aca="false">I26</f>
        <v>178.6</v>
      </c>
      <c r="K26" s="22"/>
      <c r="L26" s="22"/>
      <c r="M26" s="22"/>
      <c r="N26" s="22"/>
      <c r="O26" s="22"/>
    </row>
    <row r="27" customFormat="false" ht="15" hidden="false" customHeight="false" outlineLevel="0" collapsed="false">
      <c r="B27" s="4" t="s">
        <v>324</v>
      </c>
      <c r="C27" s="17" t="s">
        <v>105</v>
      </c>
      <c r="D27" s="32" t="n">
        <v>131.941</v>
      </c>
      <c r="E27" s="32" t="n">
        <v>158.558</v>
      </c>
      <c r="F27" s="32" t="n">
        <v>197.709</v>
      </c>
      <c r="G27" s="32" t="n">
        <v>190.693</v>
      </c>
      <c r="H27" s="32" t="n">
        <v>172.61</v>
      </c>
      <c r="I27" s="32" t="n">
        <v>182.32</v>
      </c>
      <c r="J27" s="38" t="n">
        <f aca="false">I27</f>
        <v>182.32</v>
      </c>
      <c r="K27" s="22"/>
      <c r="L27" s="22"/>
      <c r="M27" s="22"/>
      <c r="N27" s="22"/>
      <c r="O27" s="22"/>
    </row>
    <row r="28" customFormat="false" ht="15" hidden="false" customHeight="false" outlineLevel="0" collapsed="false">
      <c r="B28" s="4" t="s">
        <v>325</v>
      </c>
      <c r="C28" s="17" t="s">
        <v>105</v>
      </c>
      <c r="D28" s="32" t="n">
        <v>10.736</v>
      </c>
      <c r="E28" s="32" t="n">
        <v>11.06</v>
      </c>
      <c r="F28" s="32" t="n">
        <v>9.643</v>
      </c>
      <c r="G28" s="32" t="n">
        <v>9.598</v>
      </c>
      <c r="H28" s="32" t="n">
        <v>8.998</v>
      </c>
      <c r="I28" s="32" t="n">
        <v>11.221</v>
      </c>
      <c r="J28" s="38" t="n">
        <f aca="false">I28</f>
        <v>11.221</v>
      </c>
      <c r="K28" s="22"/>
      <c r="L28" s="22"/>
      <c r="M28" s="22"/>
      <c r="N28" s="22"/>
      <c r="O28" s="22"/>
    </row>
    <row r="29" customFormat="false" ht="15" hidden="false" customHeight="false" outlineLevel="0" collapsed="false">
      <c r="B29" s="4" t="s">
        <v>326</v>
      </c>
      <c r="C29" s="17" t="s">
        <v>105</v>
      </c>
      <c r="D29" s="32" t="n">
        <v>43.667</v>
      </c>
      <c r="E29" s="32" t="n">
        <v>2.466</v>
      </c>
      <c r="F29" s="32" t="n">
        <v>0</v>
      </c>
      <c r="G29" s="32" t="n">
        <v>0</v>
      </c>
      <c r="H29" s="32" t="n">
        <v>0</v>
      </c>
      <c r="I29" s="32" t="n">
        <v>0</v>
      </c>
      <c r="J29" s="38" t="n">
        <f aca="false">I29</f>
        <v>0</v>
      </c>
      <c r="K29" s="22"/>
      <c r="L29" s="22"/>
      <c r="M29" s="22"/>
      <c r="N29" s="22"/>
      <c r="O29" s="22"/>
    </row>
    <row r="30" customFormat="false" ht="15" hidden="false" customHeight="false" outlineLevel="0" collapsed="false">
      <c r="B30" s="4" t="s">
        <v>327</v>
      </c>
      <c r="C30" s="17" t="s">
        <v>105</v>
      </c>
      <c r="D30" s="32" t="n">
        <v>568.538</v>
      </c>
      <c r="E30" s="32" t="n">
        <v>632.914</v>
      </c>
      <c r="F30" s="32" t="n">
        <v>701.438</v>
      </c>
      <c r="G30" s="32" t="n">
        <v>780.838</v>
      </c>
      <c r="H30" s="32" t="n">
        <v>720.497</v>
      </c>
      <c r="I30" s="32" t="n">
        <v>797.435</v>
      </c>
      <c r="J30" s="38" t="n">
        <f aca="false">I30</f>
        <v>797.435</v>
      </c>
      <c r="K30" s="22"/>
      <c r="L30" s="22"/>
      <c r="M30" s="22"/>
      <c r="N30" s="22"/>
      <c r="O30" s="22"/>
    </row>
    <row r="31" customFormat="false" ht="15" hidden="false" customHeight="false" outlineLevel="0" collapsed="false">
      <c r="B31" s="39" t="s">
        <v>328</v>
      </c>
      <c r="C31" s="40" t="s">
        <v>105</v>
      </c>
      <c r="D31" s="41" t="n">
        <f aca="false">SUM(D26:D30)</f>
        <v>859.695</v>
      </c>
      <c r="E31" s="41" t="n">
        <f aca="false">SUM(E26:E30)</f>
        <v>951.337</v>
      </c>
      <c r="F31" s="41" t="n">
        <f aca="false">SUM(F26:F30)</f>
        <v>1065.607</v>
      </c>
      <c r="G31" s="41" t="n">
        <f aca="false">SUM(G26:G30)</f>
        <v>1155.782</v>
      </c>
      <c r="H31" s="41" t="n">
        <f aca="false">SUM(H26:H30)</f>
        <v>1073.687</v>
      </c>
      <c r="I31" s="41" t="n">
        <f aca="false">SUM(I26:I30)</f>
        <v>1169.576</v>
      </c>
      <c r="J31" s="41" t="n">
        <f aca="false">SUM(J26:J30)</f>
        <v>1169.576</v>
      </c>
      <c r="K31" s="42"/>
      <c r="L31" s="42"/>
      <c r="M31" s="42"/>
      <c r="N31" s="42"/>
      <c r="O31" s="42"/>
      <c r="P31" s="20" t="s">
        <v>329</v>
      </c>
    </row>
    <row r="32" customFormat="false" ht="15" hidden="false" customHeight="false" outlineLevel="0" collapsed="false">
      <c r="B32" s="4" t="s">
        <v>330</v>
      </c>
      <c r="C32" s="17" t="s">
        <v>105</v>
      </c>
      <c r="D32" s="32" t="n">
        <v>392.905</v>
      </c>
      <c r="E32" s="32" t="n">
        <v>49.801</v>
      </c>
      <c r="F32" s="32" t="n">
        <v>0</v>
      </c>
      <c r="G32" s="32" t="n">
        <v>0</v>
      </c>
      <c r="H32" s="32" t="n">
        <v>0</v>
      </c>
      <c r="I32" s="32" t="n">
        <v>0</v>
      </c>
      <c r="J32" s="38" t="n">
        <f aca="false">I32</f>
        <v>0</v>
      </c>
      <c r="K32" s="22"/>
      <c r="L32" s="22"/>
      <c r="M32" s="22"/>
      <c r="N32" s="22"/>
      <c r="O32" s="22"/>
      <c r="P32" s="20" t="s">
        <v>331</v>
      </c>
    </row>
    <row r="33" customFormat="false" ht="15" hidden="false" customHeight="false" outlineLevel="0" collapsed="false">
      <c r="B33" s="4" t="s">
        <v>332</v>
      </c>
      <c r="C33" s="17" t="s">
        <v>105</v>
      </c>
      <c r="D33" s="32" t="n">
        <v>594.484</v>
      </c>
      <c r="E33" s="32" t="n">
        <v>596.206</v>
      </c>
      <c r="F33" s="32" t="n">
        <v>597.934</v>
      </c>
      <c r="G33" s="32" t="n">
        <v>599.663</v>
      </c>
      <c r="H33" s="32" t="n">
        <v>598.798</v>
      </c>
      <c r="I33" s="32" t="n">
        <v>0</v>
      </c>
      <c r="J33" s="38" t="n">
        <f aca="false">I33</f>
        <v>0</v>
      </c>
      <c r="K33" s="22"/>
      <c r="L33" s="22"/>
      <c r="M33" s="22"/>
      <c r="N33" s="22"/>
      <c r="O33" s="22"/>
      <c r="P33" s="20" t="s">
        <v>333</v>
      </c>
    </row>
    <row r="34" customFormat="false" ht="15" hidden="false" customHeight="false" outlineLevel="0" collapsed="false">
      <c r="B34" s="4" t="s">
        <v>334</v>
      </c>
      <c r="C34" s="17" t="s">
        <v>105</v>
      </c>
      <c r="D34" s="32" t="n">
        <v>0</v>
      </c>
      <c r="E34" s="32" t="n">
        <v>0</v>
      </c>
      <c r="F34" s="32" t="n">
        <v>0</v>
      </c>
      <c r="G34" s="32" t="n">
        <v>0</v>
      </c>
      <c r="H34" s="32" t="n">
        <v>0</v>
      </c>
      <c r="I34" s="32" t="n">
        <v>1408.691</v>
      </c>
      <c r="J34" s="38" t="n">
        <f aca="false">I34</f>
        <v>1408.691</v>
      </c>
      <c r="K34" s="22"/>
      <c r="L34" s="22"/>
      <c r="M34" s="22"/>
      <c r="N34" s="22"/>
      <c r="O34" s="22"/>
    </row>
    <row r="35" customFormat="false" ht="15" hidden="false" customHeight="false" outlineLevel="0" collapsed="false">
      <c r="B35" s="4" t="s">
        <v>335</v>
      </c>
      <c r="C35" s="17" t="s">
        <v>105</v>
      </c>
      <c r="D35" s="32" t="n">
        <v>0</v>
      </c>
      <c r="E35" s="32" t="n">
        <v>0</v>
      </c>
      <c r="F35" s="32" t="n">
        <v>0</v>
      </c>
      <c r="G35" s="32" t="n">
        <v>0</v>
      </c>
      <c r="H35" s="32" t="n">
        <v>0</v>
      </c>
      <c r="I35" s="32" t="n">
        <v>0</v>
      </c>
      <c r="J35" s="38" t="n">
        <f aca="false">I35</f>
        <v>0</v>
      </c>
      <c r="K35" s="22"/>
      <c r="L35" s="22"/>
      <c r="M35" s="22"/>
      <c r="N35" s="22"/>
      <c r="O35" s="22"/>
    </row>
    <row r="36" customFormat="false" ht="15" hidden="false" customHeight="false" outlineLevel="0" collapsed="false">
      <c r="B36" s="4" t="s">
        <v>336</v>
      </c>
      <c r="C36" s="17" t="s">
        <v>105</v>
      </c>
      <c r="D36" s="32" t="n">
        <v>2.037</v>
      </c>
      <c r="E36" s="32" t="n">
        <v>0.291</v>
      </c>
      <c r="F36" s="32" t="n">
        <v>22.376</v>
      </c>
      <c r="G36" s="32" t="n">
        <v>20.988</v>
      </c>
      <c r="H36" s="32" t="n">
        <v>22.878</v>
      </c>
      <c r="I36" s="32" t="n">
        <v>19.486</v>
      </c>
      <c r="J36" s="38" t="n">
        <f aca="false">I36</f>
        <v>19.486</v>
      </c>
      <c r="K36" s="22"/>
      <c r="L36" s="22"/>
      <c r="M36" s="22"/>
      <c r="N36" s="22"/>
      <c r="O36" s="22"/>
    </row>
    <row r="37" customFormat="false" ht="15" hidden="false" customHeight="false" outlineLevel="0" collapsed="false">
      <c r="B37" s="4" t="s">
        <v>337</v>
      </c>
      <c r="C37" s="17" t="s">
        <v>105</v>
      </c>
      <c r="D37" s="32" t="n">
        <v>148.891</v>
      </c>
      <c r="E37" s="32" t="n">
        <v>78.59</v>
      </c>
      <c r="F37" s="32" t="n">
        <v>47.503</v>
      </c>
      <c r="G37" s="32" t="n">
        <v>95.063</v>
      </c>
      <c r="H37" s="32" t="n">
        <v>36.437</v>
      </c>
      <c r="I37" s="32" t="n">
        <v>108.624</v>
      </c>
      <c r="J37" s="38" t="n">
        <f aca="false">I37</f>
        <v>108.624</v>
      </c>
      <c r="K37" s="22"/>
      <c r="L37" s="22"/>
      <c r="M37" s="22"/>
      <c r="N37" s="22"/>
      <c r="O37" s="22"/>
      <c r="P37" s="20" t="s">
        <v>338</v>
      </c>
    </row>
    <row r="38" customFormat="false" ht="15" hidden="false" customHeight="false" outlineLevel="0" collapsed="false">
      <c r="B38" s="4" t="s">
        <v>339</v>
      </c>
      <c r="C38" s="17" t="s">
        <v>105</v>
      </c>
      <c r="D38" s="32" t="n">
        <v>48.049</v>
      </c>
      <c r="E38" s="32" t="n">
        <v>39.822</v>
      </c>
      <c r="F38" s="32" t="n">
        <v>30.791</v>
      </c>
      <c r="G38" s="32" t="n">
        <v>33.347</v>
      </c>
      <c r="H38" s="32" t="n">
        <v>33.922</v>
      </c>
      <c r="I38" s="32" t="n">
        <v>35.118</v>
      </c>
      <c r="J38" s="38" t="n">
        <f aca="false">I38</f>
        <v>35.118</v>
      </c>
      <c r="K38" s="22"/>
      <c r="L38" s="22"/>
      <c r="M38" s="22"/>
      <c r="N38" s="22"/>
      <c r="O38" s="22"/>
    </row>
    <row r="39" customFormat="false" ht="15" hidden="false" customHeight="false" outlineLevel="0" collapsed="false">
      <c r="B39" s="4" t="s">
        <v>340</v>
      </c>
      <c r="C39" s="17" t="s">
        <v>105</v>
      </c>
      <c r="D39" s="32" t="n">
        <v>16.967</v>
      </c>
      <c r="E39" s="32" t="n">
        <v>22.621</v>
      </c>
      <c r="F39" s="32" t="n">
        <v>27.382</v>
      </c>
      <c r="G39" s="32" t="n">
        <v>31.276</v>
      </c>
      <c r="H39" s="32" t="n">
        <v>25.366</v>
      </c>
      <c r="I39" s="32" t="n">
        <v>34.85</v>
      </c>
      <c r="J39" s="38" t="n">
        <f aca="false">I39</f>
        <v>34.85</v>
      </c>
      <c r="K39" s="22"/>
      <c r="L39" s="22"/>
      <c r="M39" s="22"/>
      <c r="N39" s="22"/>
      <c r="O39" s="22"/>
    </row>
    <row r="40" customFormat="false" ht="15" hidden="false" customHeight="false" outlineLevel="0" collapsed="false">
      <c r="B40" s="39" t="s">
        <v>341</v>
      </c>
      <c r="C40" s="40" t="s">
        <v>105</v>
      </c>
      <c r="D40" s="41" t="n">
        <f aca="false">D31+SUM(D32:D39)</f>
        <v>2063.028</v>
      </c>
      <c r="E40" s="41" t="n">
        <f aca="false">E31+SUM(E32:E39)</f>
        <v>1738.668</v>
      </c>
      <c r="F40" s="41" t="n">
        <f aca="false">F31+SUM(F32:F39)</f>
        <v>1791.593</v>
      </c>
      <c r="G40" s="41" t="n">
        <f aca="false">G31+SUM(G32:G39)</f>
        <v>1936.119</v>
      </c>
      <c r="H40" s="41" t="n">
        <f aca="false">H31+SUM(H32:H39)</f>
        <v>1791.088</v>
      </c>
      <c r="I40" s="41" t="n">
        <f aca="false">I31+SUM(I32:I39)</f>
        <v>2776.345</v>
      </c>
      <c r="J40" s="41" t="n">
        <f aca="false">J31+SUM(J32:J39)</f>
        <v>2776.345</v>
      </c>
      <c r="K40" s="42"/>
      <c r="L40" s="42"/>
      <c r="M40" s="42"/>
      <c r="N40" s="42"/>
      <c r="O40" s="42"/>
    </row>
    <row r="41" customFormat="false" ht="15" hidden="false" customHeight="false" outlineLevel="0" collapsed="false">
      <c r="B41" s="6" t="s">
        <v>342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customFormat="false" ht="15" hidden="false" customHeight="false" outlineLevel="0" collapsed="false">
      <c r="B42" s="4" t="s">
        <v>343</v>
      </c>
      <c r="C42" s="17" t="s">
        <v>105</v>
      </c>
      <c r="D42" s="32" t="n">
        <v>0.481</v>
      </c>
      <c r="E42" s="32" t="n">
        <v>0.481</v>
      </c>
      <c r="F42" s="32" t="n">
        <v>0.481</v>
      </c>
      <c r="G42" s="32" t="n">
        <v>0.481</v>
      </c>
      <c r="H42" s="32" t="n">
        <v>0.481</v>
      </c>
      <c r="I42" s="32" t="n">
        <v>0.481</v>
      </c>
      <c r="J42" s="38" t="n">
        <f aca="false">I42</f>
        <v>0.481</v>
      </c>
      <c r="K42" s="22"/>
      <c r="L42" s="22"/>
      <c r="M42" s="22"/>
      <c r="N42" s="22"/>
      <c r="O42" s="22"/>
    </row>
    <row r="43" customFormat="false" ht="15" hidden="false" customHeight="false" outlineLevel="0" collapsed="false">
      <c r="B43" s="4" t="s">
        <v>344</v>
      </c>
      <c r="C43" s="17" t="s">
        <v>105</v>
      </c>
      <c r="D43" s="32" t="n">
        <v>1209.725</v>
      </c>
      <c r="E43" s="32" t="n">
        <v>1354.787</v>
      </c>
      <c r="F43" s="32" t="n">
        <v>1539.301</v>
      </c>
      <c r="G43" s="32" t="n">
        <v>1616.119</v>
      </c>
      <c r="H43" s="32" t="n">
        <v>1620.258</v>
      </c>
      <c r="I43" s="32" t="n">
        <v>1460.994</v>
      </c>
      <c r="J43" s="38" t="n">
        <f aca="false">I43</f>
        <v>1460.994</v>
      </c>
      <c r="K43" s="22"/>
      <c r="L43" s="22"/>
      <c r="M43" s="22"/>
      <c r="N43" s="22"/>
      <c r="O43" s="22"/>
      <c r="P43" s="20" t="s">
        <v>345</v>
      </c>
    </row>
    <row r="44" customFormat="false" ht="15" hidden="false" customHeight="false" outlineLevel="0" collapsed="false">
      <c r="B44" s="4" t="s">
        <v>346</v>
      </c>
      <c r="C44" s="17" t="s">
        <v>105</v>
      </c>
      <c r="D44" s="32" t="n">
        <v>-0.844</v>
      </c>
      <c r="E44" s="32" t="n">
        <v>-0.326</v>
      </c>
      <c r="F44" s="32" t="n">
        <v>-0.157</v>
      </c>
      <c r="G44" s="32" t="n">
        <v>-0.011</v>
      </c>
      <c r="H44" s="32" t="n">
        <v>-0.115</v>
      </c>
      <c r="I44" s="32" t="n">
        <v>-0.4</v>
      </c>
      <c r="J44" s="38" t="n">
        <f aca="false">I44</f>
        <v>-0.4</v>
      </c>
      <c r="K44" s="22"/>
      <c r="L44" s="22"/>
      <c r="M44" s="22"/>
      <c r="N44" s="22"/>
      <c r="O44" s="22"/>
    </row>
    <row r="45" customFormat="false" ht="15" hidden="false" customHeight="false" outlineLevel="0" collapsed="false">
      <c r="B45" s="4" t="s">
        <v>347</v>
      </c>
      <c r="C45" s="17" t="s">
        <v>105</v>
      </c>
      <c r="D45" s="32" t="n">
        <v>1437.854</v>
      </c>
      <c r="E45" s="32" t="n">
        <v>1603.773</v>
      </c>
      <c r="F45" s="32" t="n">
        <v>1866.799</v>
      </c>
      <c r="G45" s="32" t="n">
        <v>2182.402</v>
      </c>
      <c r="H45" s="32" t="n">
        <v>2032.478</v>
      </c>
      <c r="I45" s="32" t="n">
        <v>2357.094</v>
      </c>
      <c r="J45" s="38" t="n">
        <f aca="false">I45</f>
        <v>2357.094</v>
      </c>
      <c r="K45" s="22"/>
      <c r="L45" s="22"/>
      <c r="M45" s="22"/>
      <c r="N45" s="22"/>
      <c r="O45" s="22"/>
      <c r="P45" s="20" t="s">
        <v>348</v>
      </c>
    </row>
    <row r="46" customFormat="false" ht="15" hidden="false" customHeight="false" outlineLevel="0" collapsed="false">
      <c r="B46" s="4" t="s">
        <v>349</v>
      </c>
      <c r="C46" s="17" t="s">
        <v>105</v>
      </c>
      <c r="D46" s="32" t="n">
        <v>-22.827</v>
      </c>
      <c r="E46" s="32" t="n">
        <v>-20.72</v>
      </c>
      <c r="F46" s="32" t="n">
        <v>-18.002</v>
      </c>
      <c r="G46" s="32" t="n">
        <v>-96.202</v>
      </c>
      <c r="H46" s="32" t="n">
        <v>-18.435</v>
      </c>
      <c r="I46" s="32" t="n">
        <v>-780.938</v>
      </c>
      <c r="J46" s="38" t="n">
        <f aca="false">I46</f>
        <v>-780.938</v>
      </c>
      <c r="K46" s="22"/>
      <c r="L46" s="22"/>
      <c r="M46" s="22"/>
      <c r="N46" s="22"/>
      <c r="O46" s="22"/>
    </row>
    <row r="47" customFormat="false" ht="15" hidden="false" customHeight="false" outlineLevel="0" collapsed="false">
      <c r="B47" s="39" t="s">
        <v>350</v>
      </c>
      <c r="C47" s="40" t="s">
        <v>105</v>
      </c>
      <c r="D47" s="41" t="n">
        <f aca="false">SUM(D42:D46)</f>
        <v>2624.389</v>
      </c>
      <c r="E47" s="41" t="n">
        <f aca="false">SUM(E42:E46)</f>
        <v>2937.995</v>
      </c>
      <c r="F47" s="41" t="n">
        <f aca="false">SUM(F42:F46)</f>
        <v>3388.422</v>
      </c>
      <c r="G47" s="41" t="n">
        <f aca="false">SUM(G42:G46)</f>
        <v>3702.789</v>
      </c>
      <c r="H47" s="41" t="n">
        <f aca="false">SUM(H42:H46)</f>
        <v>3634.667</v>
      </c>
      <c r="I47" s="41" t="n">
        <f aca="false">SUM(I42:I46)</f>
        <v>3037.231</v>
      </c>
      <c r="J47" s="41" t="n">
        <f aca="false">SUM(J42:J46)</f>
        <v>3037.231</v>
      </c>
      <c r="K47" s="42"/>
      <c r="L47" s="42"/>
      <c r="M47" s="42"/>
      <c r="N47" s="42"/>
      <c r="O47" s="42"/>
    </row>
    <row r="48" customFormat="false" ht="15" hidden="false" customHeight="false" outlineLevel="0" collapsed="false">
      <c r="B48" s="39" t="s">
        <v>351</v>
      </c>
      <c r="C48" s="40" t="s">
        <v>105</v>
      </c>
      <c r="D48" s="41" t="n">
        <f aca="false">D40+D47</f>
        <v>4687.417</v>
      </c>
      <c r="E48" s="41" t="n">
        <f aca="false">E40+E47</f>
        <v>4676.663</v>
      </c>
      <c r="F48" s="41" t="n">
        <f aca="false">F40+F47</f>
        <v>5180.015</v>
      </c>
      <c r="G48" s="41" t="n">
        <f aca="false">G40+G47</f>
        <v>5638.908</v>
      </c>
      <c r="H48" s="41" t="n">
        <f aca="false">H40+H47</f>
        <v>5425.755</v>
      </c>
      <c r="I48" s="41" t="n">
        <f aca="false">I40+I47</f>
        <v>5813.576</v>
      </c>
      <c r="J48" s="41" t="n">
        <f aca="false">J40+J47</f>
        <v>5813.576</v>
      </c>
      <c r="K48" s="42"/>
      <c r="L48" s="42"/>
      <c r="M48" s="42"/>
      <c r="N48" s="42"/>
      <c r="O48" s="42"/>
    </row>
    <row r="49" customFormat="false" ht="15" hidden="false" customHeight="false" outlineLevel="0" collapsed="false">
      <c r="B49" s="4" t="s">
        <v>352</v>
      </c>
      <c r="C49" s="17" t="s">
        <v>105</v>
      </c>
      <c r="D49" s="43" t="n">
        <f aca="false">D24-D48</f>
        <v>0</v>
      </c>
      <c r="E49" s="43" t="n">
        <f aca="false">E24-E48</f>
        <v>0</v>
      </c>
      <c r="F49" s="43" t="n">
        <f aca="false">F24-F48</f>
        <v>0</v>
      </c>
      <c r="G49" s="43" t="n">
        <f aca="false">G24-G48</f>
        <v>0</v>
      </c>
      <c r="H49" s="43" t="n">
        <f aca="false">H24-H48</f>
        <v>0</v>
      </c>
      <c r="I49" s="43" t="n">
        <f aca="false">I24-I48</f>
        <v>0</v>
      </c>
      <c r="J49" s="43" t="n">
        <f aca="false">J24-J48</f>
        <v>0</v>
      </c>
      <c r="K49" s="43" t="n">
        <f aca="false">K24-K48</f>
        <v>0</v>
      </c>
      <c r="L49" s="43" t="n">
        <f aca="false">L24-L48</f>
        <v>0</v>
      </c>
      <c r="M49" s="43" t="n">
        <f aca="false">M24-M48</f>
        <v>0</v>
      </c>
      <c r="N49" s="43" t="n">
        <f aca="false">N24-N48</f>
        <v>0</v>
      </c>
      <c r="O49" s="43" t="n">
        <f aca="false">O24-O48</f>
        <v>0</v>
      </c>
      <c r="P49" s="20" t="s">
        <v>353</v>
      </c>
    </row>
    <row r="51" customFormat="false" ht="15" hidden="false" customHeight="false" outlineLevel="0" collapsed="false">
      <c r="B51" s="6" t="s">
        <v>354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customFormat="false" ht="15" hidden="false" customHeight="false" outlineLevel="0" collapsed="false">
      <c r="B52" s="4" t="s">
        <v>355</v>
      </c>
      <c r="C52" s="17" t="s">
        <v>105</v>
      </c>
      <c r="D52" s="38" t="n">
        <f aca="false">D9+D10+D22</f>
        <v>229.395</v>
      </c>
      <c r="E52" s="38" t="n">
        <f aca="false">E9+E10+E22</f>
        <v>182.924</v>
      </c>
      <c r="F52" s="38" t="n">
        <f aca="false">F9+F10+F22</f>
        <v>778.736</v>
      </c>
      <c r="G52" s="38" t="n">
        <f aca="false">G9+G10+G22</f>
        <v>1157.898</v>
      </c>
      <c r="H52" s="38" t="n">
        <f aca="false">H9+H10+H22</f>
        <v>895.34</v>
      </c>
      <c r="I52" s="38" t="n">
        <f aca="false">I9+I10+I22</f>
        <v>1015.267</v>
      </c>
      <c r="J52" s="38" t="n">
        <f aca="false">J9+J10+J22</f>
        <v>1015.267</v>
      </c>
      <c r="K52" s="22"/>
      <c r="L52" s="22"/>
      <c r="M52" s="22"/>
      <c r="N52" s="22"/>
      <c r="O52" s="22"/>
    </row>
    <row r="53" customFormat="false" ht="15" hidden="false" customHeight="false" outlineLevel="0" collapsed="false">
      <c r="B53" s="4" t="s">
        <v>356</v>
      </c>
      <c r="C53" s="17" t="s">
        <v>105</v>
      </c>
      <c r="D53" s="38" t="n">
        <f aca="false">D32+D33+D34+D35</f>
        <v>987.389</v>
      </c>
      <c r="E53" s="38" t="n">
        <f aca="false">E32+E33+E34+E35</f>
        <v>646.007</v>
      </c>
      <c r="F53" s="38" t="n">
        <f aca="false">F32+F33+F34+F35</f>
        <v>597.934</v>
      </c>
      <c r="G53" s="38" t="n">
        <f aca="false">G32+G33+G34+G35</f>
        <v>599.663</v>
      </c>
      <c r="H53" s="38" t="n">
        <f aca="false">H32+H33+H34+H35</f>
        <v>598.798</v>
      </c>
      <c r="I53" s="38" t="n">
        <f aca="false">I32+I33+I34+I35</f>
        <v>1408.691</v>
      </c>
      <c r="J53" s="38" t="n">
        <f aca="false">J32+J33+J34+J35</f>
        <v>1408.691</v>
      </c>
      <c r="K53" s="22"/>
      <c r="L53" s="22"/>
      <c r="M53" s="22"/>
      <c r="N53" s="22"/>
      <c r="O53" s="22"/>
    </row>
    <row r="54" customFormat="false" ht="15" hidden="false" customHeight="false" outlineLevel="0" collapsed="false">
      <c r="B54" s="4" t="s">
        <v>357</v>
      </c>
      <c r="C54" s="17" t="s">
        <v>105</v>
      </c>
      <c r="D54" s="38" t="n">
        <f aca="false">D52-D53</f>
        <v>-757.994</v>
      </c>
      <c r="E54" s="38" t="n">
        <f aca="false">E52-E53</f>
        <v>-463.083</v>
      </c>
      <c r="F54" s="38" t="n">
        <f aca="false">F52-F53</f>
        <v>180.802</v>
      </c>
      <c r="G54" s="38" t="n">
        <f aca="false">G52-G53</f>
        <v>558.235</v>
      </c>
      <c r="H54" s="38" t="n">
        <f aca="false">H52-H53</f>
        <v>296.542</v>
      </c>
      <c r="I54" s="38" t="n">
        <f aca="false">I52-I53</f>
        <v>-393.424</v>
      </c>
      <c r="J54" s="38" t="n">
        <f aca="false">J52-J53</f>
        <v>-393.424</v>
      </c>
      <c r="K54" s="22"/>
      <c r="L54" s="22"/>
      <c r="M54" s="22"/>
      <c r="N54" s="22"/>
      <c r="O54" s="22"/>
    </row>
    <row r="56" customFormat="false" ht="15" hidden="false" customHeight="false" outlineLevel="0" collapsed="false">
      <c r="B56" s="6" t="s">
        <v>358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customFormat="false" ht="15" hidden="false" customHeight="false" outlineLevel="0" collapsed="false">
      <c r="B57" s="4" t="s">
        <v>359</v>
      </c>
      <c r="C57" s="17" t="s">
        <v>105</v>
      </c>
      <c r="D57" s="32" t="n">
        <v>4687.417</v>
      </c>
      <c r="E57" s="32" t="n">
        <v>4676.663</v>
      </c>
      <c r="F57" s="32" t="n">
        <v>5180.015</v>
      </c>
      <c r="G57" s="32" t="n">
        <v>5638.908</v>
      </c>
      <c r="H57" s="32" t="n">
        <v>5425.755</v>
      </c>
      <c r="I57" s="32" t="n">
        <v>5813.576</v>
      </c>
    </row>
    <row r="58" customFormat="false" ht="15" hidden="false" customHeight="false" outlineLevel="0" collapsed="false">
      <c r="B58" s="4" t="s">
        <v>291</v>
      </c>
      <c r="C58" s="17" t="s">
        <v>105</v>
      </c>
      <c r="D58" s="38" t="n">
        <f aca="false">D24-D57</f>
        <v>0</v>
      </c>
      <c r="E58" s="38" t="n">
        <f aca="false">E24-E57</f>
        <v>0</v>
      </c>
      <c r="F58" s="38" t="n">
        <f aca="false">F24-F57</f>
        <v>0</v>
      </c>
      <c r="G58" s="38" t="n">
        <f aca="false">G24-G57</f>
        <v>0</v>
      </c>
      <c r="H58" s="38" t="n">
        <f aca="false">H24-H57</f>
        <v>0</v>
      </c>
      <c r="I58" s="38" t="n">
        <f aca="false">I24-I57</f>
        <v>0</v>
      </c>
    </row>
    <row r="59" customFormat="false" ht="15" hidden="false" customHeight="false" outlineLevel="0" collapsed="false">
      <c r="B59" s="4" t="s">
        <v>360</v>
      </c>
      <c r="C59" s="17" t="s">
        <v>105</v>
      </c>
      <c r="D59" s="32" t="n">
        <v>2063.028</v>
      </c>
      <c r="E59" s="32" t="n">
        <v>1738.668</v>
      </c>
      <c r="F59" s="32" t="n">
        <v>1791.593</v>
      </c>
      <c r="G59" s="32" t="n">
        <v>1936.119</v>
      </c>
      <c r="H59" s="32" t="n">
        <v>1791.088</v>
      </c>
      <c r="I59" s="32" t="n">
        <v>2776.345</v>
      </c>
    </row>
    <row r="60" customFormat="false" ht="15" hidden="false" customHeight="false" outlineLevel="0" collapsed="false">
      <c r="B60" s="4" t="s">
        <v>291</v>
      </c>
      <c r="C60" s="17" t="s">
        <v>105</v>
      </c>
      <c r="D60" s="38" t="n">
        <f aca="false">D40-D59</f>
        <v>0</v>
      </c>
      <c r="E60" s="38" t="n">
        <f aca="false">E40-E59</f>
        <v>0</v>
      </c>
      <c r="F60" s="38" t="n">
        <f aca="false">F40-F59</f>
        <v>0</v>
      </c>
      <c r="G60" s="38" t="n">
        <f aca="false">G40-G59</f>
        <v>0</v>
      </c>
      <c r="H60" s="38" t="n">
        <f aca="false">H40-H59</f>
        <v>0</v>
      </c>
      <c r="I60" s="38" t="n">
        <f aca="false">I40-I59</f>
        <v>0</v>
      </c>
    </row>
    <row r="61" customFormat="false" ht="15" hidden="false" customHeight="false" outlineLevel="0" collapsed="false">
      <c r="B61" s="4" t="s">
        <v>361</v>
      </c>
      <c r="C61" s="17" t="s">
        <v>105</v>
      </c>
      <c r="D61" s="32" t="n">
        <v>2624.389</v>
      </c>
      <c r="E61" s="32" t="n">
        <v>2937.995</v>
      </c>
      <c r="F61" s="32" t="n">
        <v>3388.422</v>
      </c>
      <c r="G61" s="32" t="n">
        <v>3702.789</v>
      </c>
      <c r="H61" s="32" t="n">
        <v>3634.667</v>
      </c>
      <c r="I61" s="32" t="n">
        <v>3037.231</v>
      </c>
    </row>
    <row r="62" customFormat="false" ht="15" hidden="false" customHeight="false" outlineLevel="0" collapsed="false">
      <c r="B62" s="4" t="s">
        <v>291</v>
      </c>
      <c r="C62" s="17" t="s">
        <v>105</v>
      </c>
      <c r="D62" s="38" t="n">
        <f aca="false">D47-D61</f>
        <v>0</v>
      </c>
      <c r="E62" s="38" t="n">
        <f aca="false">E47-E61</f>
        <v>0</v>
      </c>
      <c r="F62" s="38" t="n">
        <f aca="false">F47-F61</f>
        <v>0</v>
      </c>
      <c r="G62" s="38" t="n">
        <f aca="false">G47-G61</f>
        <v>0</v>
      </c>
      <c r="H62" s="38" t="n">
        <f aca="false">H47-H61</f>
        <v>0</v>
      </c>
      <c r="I62" s="38" t="n">
        <f aca="false">I47-I61</f>
        <v>0</v>
      </c>
    </row>
  </sheetData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IC Simulator · Tyler Technologies (TYL) · Advanced · Practice use only · 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P6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3" min="3" style="0" width="9"/>
    <col collapsed="false" customWidth="true" hidden="false" outlineLevel="0" max="15" min="4" style="0" width="11.5"/>
    <col collapsed="false" customWidth="true" hidden="false" outlineLevel="0" max="16" min="16" style="0" width="70"/>
  </cols>
  <sheetData>
    <row r="1" customFormat="false" ht="17.35" hidden="false" customHeight="false" outlineLevel="0" collapsed="false">
      <c r="B1" s="9" t="s">
        <v>362</v>
      </c>
    </row>
    <row r="2" customFormat="false" ht="15" hidden="false" customHeight="false" outlineLevel="0" collapsed="false">
      <c r="B2" s="10" t="s">
        <v>363</v>
      </c>
    </row>
    <row r="4" customFormat="false" ht="15" hidden="false" customHeight="false" outlineLevel="0" collapsed="false">
      <c r="B4" s="11" t="s">
        <v>67</v>
      </c>
      <c r="C4" s="11" t="s">
        <v>12</v>
      </c>
      <c r="D4" s="12" t="s">
        <v>68</v>
      </c>
      <c r="E4" s="12" t="s">
        <v>69</v>
      </c>
      <c r="F4" s="12" t="s">
        <v>70</v>
      </c>
      <c r="G4" s="12" t="s">
        <v>71</v>
      </c>
      <c r="H4" s="12" t="s">
        <v>72</v>
      </c>
      <c r="I4" s="12" t="s">
        <v>73</v>
      </c>
      <c r="J4" s="12" t="s">
        <v>74</v>
      </c>
      <c r="K4" s="12" t="s">
        <v>75</v>
      </c>
      <c r="L4" s="12" t="s">
        <v>76</v>
      </c>
      <c r="M4" s="12" t="s">
        <v>77</v>
      </c>
      <c r="N4" s="12" t="s">
        <v>78</v>
      </c>
      <c r="O4" s="12" t="s">
        <v>79</v>
      </c>
      <c r="P4" s="11" t="s">
        <v>80</v>
      </c>
    </row>
    <row r="5" customFormat="false" ht="15" hidden="false" customHeight="false" outlineLevel="0" collapsed="false">
      <c r="B5" s="13" t="s">
        <v>81</v>
      </c>
      <c r="C5" s="14"/>
      <c r="D5" s="15" t="n">
        <v>44926</v>
      </c>
      <c r="E5" s="15" t="n">
        <v>45291</v>
      </c>
      <c r="F5" s="15" t="n">
        <v>45657</v>
      </c>
      <c r="G5" s="15" t="n">
        <v>46022</v>
      </c>
      <c r="H5" s="15" t="n">
        <v>45838</v>
      </c>
      <c r="I5" s="15" t="n">
        <v>46203</v>
      </c>
      <c r="J5" s="15" t="n">
        <v>46203</v>
      </c>
      <c r="K5" s="15" t="n">
        <v>46387</v>
      </c>
      <c r="L5" s="15" t="n">
        <v>46752</v>
      </c>
      <c r="M5" s="15" t="n">
        <v>47118</v>
      </c>
      <c r="N5" s="15" t="n">
        <v>47483</v>
      </c>
      <c r="O5" s="15" t="n">
        <v>47848</v>
      </c>
      <c r="P5" s="14"/>
    </row>
    <row r="6" customFormat="false" ht="15" hidden="false" customHeight="false" outlineLevel="0" collapsed="false">
      <c r="B6" s="13" t="s">
        <v>82</v>
      </c>
      <c r="C6" s="14"/>
      <c r="D6" s="16" t="n">
        <v>52</v>
      </c>
      <c r="E6" s="16" t="n">
        <v>52</v>
      </c>
      <c r="F6" s="16" t="n">
        <v>52</v>
      </c>
      <c r="G6" s="16" t="n">
        <v>52</v>
      </c>
      <c r="H6" s="16" t="n">
        <v>26</v>
      </c>
      <c r="I6" s="16" t="n">
        <v>26</v>
      </c>
      <c r="J6" s="16" t="n">
        <v>52</v>
      </c>
      <c r="K6" s="16" t="n">
        <v>52</v>
      </c>
      <c r="L6" s="16" t="n">
        <v>52</v>
      </c>
      <c r="M6" s="16" t="n">
        <v>52</v>
      </c>
      <c r="N6" s="16" t="n">
        <v>52</v>
      </c>
      <c r="O6" s="16" t="n">
        <v>52</v>
      </c>
      <c r="P6" s="14"/>
    </row>
    <row r="8" customFormat="false" ht="15" hidden="false" customHeight="false" outlineLevel="0" collapsed="false">
      <c r="B8" s="6" t="s">
        <v>364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customFormat="false" ht="15" hidden="false" customHeight="false" outlineLevel="0" collapsed="false">
      <c r="B9" s="4" t="s">
        <v>264</v>
      </c>
      <c r="C9" s="17" t="s">
        <v>105</v>
      </c>
      <c r="D9" s="32" t="n">
        <v>164.24</v>
      </c>
      <c r="E9" s="32" t="n">
        <v>165.919</v>
      </c>
      <c r="F9" s="32" t="n">
        <v>263.026</v>
      </c>
      <c r="G9" s="32" t="n">
        <v>315.603</v>
      </c>
      <c r="H9" s="32" t="n">
        <v>165.679</v>
      </c>
      <c r="I9" s="32" t="n">
        <v>174.692</v>
      </c>
      <c r="J9" s="38" t="n">
        <f aca="false">G9+I9-H9</f>
        <v>324.616</v>
      </c>
      <c r="K9" s="22"/>
      <c r="L9" s="22"/>
      <c r="M9" s="22"/>
      <c r="N9" s="22"/>
      <c r="O9" s="22"/>
    </row>
    <row r="10" customFormat="false" ht="15" hidden="false" customHeight="false" outlineLevel="0" collapsed="false">
      <c r="B10" s="4" t="s">
        <v>365</v>
      </c>
      <c r="C10" s="17" t="s">
        <v>105</v>
      </c>
      <c r="D10" s="32" t="n">
        <v>159.072</v>
      </c>
      <c r="E10" s="32" t="n">
        <v>154.079</v>
      </c>
      <c r="F10" s="32" t="n">
        <v>143.437</v>
      </c>
      <c r="G10" s="32" t="n">
        <v>138.358</v>
      </c>
      <c r="H10" s="32" t="n">
        <v>68.943</v>
      </c>
      <c r="I10" s="32" t="n">
        <v>74.761</v>
      </c>
      <c r="J10" s="38" t="n">
        <f aca="false">G10+I10-H10</f>
        <v>144.176</v>
      </c>
      <c r="K10" s="22"/>
      <c r="L10" s="22"/>
      <c r="M10" s="22"/>
      <c r="N10" s="22"/>
      <c r="O10" s="22"/>
    </row>
    <row r="11" customFormat="false" ht="15" hidden="false" customHeight="false" outlineLevel="0" collapsed="false">
      <c r="B11" s="4" t="s">
        <v>366</v>
      </c>
      <c r="C11" s="17" t="s">
        <v>105</v>
      </c>
      <c r="D11" s="32" t="n">
        <v>102.985</v>
      </c>
      <c r="E11" s="32" t="n">
        <v>108.338</v>
      </c>
      <c r="F11" s="32" t="n">
        <v>122.813</v>
      </c>
      <c r="G11" s="32" t="n">
        <v>151.276</v>
      </c>
      <c r="H11" s="32" t="n">
        <v>75.962</v>
      </c>
      <c r="I11" s="32" t="n">
        <v>80.821</v>
      </c>
      <c r="J11" s="38" t="n">
        <f aca="false">G11+I11-H11</f>
        <v>156.135</v>
      </c>
      <c r="K11" s="22"/>
      <c r="L11" s="22"/>
      <c r="M11" s="22"/>
      <c r="N11" s="22"/>
      <c r="O11" s="22"/>
    </row>
    <row r="12" customFormat="false" ht="15" hidden="false" customHeight="false" outlineLevel="0" collapsed="false">
      <c r="B12" s="4" t="s">
        <v>367</v>
      </c>
      <c r="C12" s="17" t="s">
        <v>105</v>
      </c>
      <c r="D12" s="32" t="n">
        <v>-87.192</v>
      </c>
      <c r="E12" s="32" t="n">
        <v>-73.704</v>
      </c>
      <c r="F12" s="32" t="n">
        <v>-30.663</v>
      </c>
      <c r="G12" s="32" t="n">
        <v>43.851</v>
      </c>
      <c r="H12" s="32" t="n">
        <v>-11.08</v>
      </c>
      <c r="I12" s="32" t="n">
        <v>31.866</v>
      </c>
      <c r="J12" s="38" t="n">
        <f aca="false">G12+I12-H12</f>
        <v>86.797</v>
      </c>
      <c r="K12" s="22"/>
      <c r="L12" s="22"/>
      <c r="M12" s="22"/>
      <c r="N12" s="22"/>
      <c r="O12" s="22"/>
    </row>
    <row r="13" customFormat="false" ht="15" hidden="false" customHeight="false" outlineLevel="0" collapsed="false">
      <c r="B13" s="4" t="s">
        <v>368</v>
      </c>
      <c r="C13" s="17" t="s">
        <v>105</v>
      </c>
      <c r="D13" s="32" t="n">
        <v>0</v>
      </c>
      <c r="E13" s="32" t="n">
        <v>0</v>
      </c>
      <c r="F13" s="32" t="n">
        <v>0</v>
      </c>
      <c r="G13" s="32" t="n">
        <v>0</v>
      </c>
      <c r="H13" s="32" t="n">
        <v>0</v>
      </c>
      <c r="I13" s="32" t="n">
        <v>-25.048</v>
      </c>
      <c r="J13" s="38" t="n">
        <f aca="false">G13+I13-H13</f>
        <v>-25.048</v>
      </c>
      <c r="K13" s="22"/>
      <c r="L13" s="22"/>
      <c r="M13" s="22"/>
      <c r="N13" s="22"/>
      <c r="O13" s="22"/>
    </row>
    <row r="14" customFormat="false" ht="15" hidden="false" customHeight="false" outlineLevel="0" collapsed="false">
      <c r="B14" s="4" t="s">
        <v>369</v>
      </c>
      <c r="C14" s="17" t="s">
        <v>105</v>
      </c>
      <c r="K14" s="22"/>
      <c r="L14" s="22"/>
      <c r="M14" s="22"/>
      <c r="N14" s="22"/>
      <c r="O14" s="22"/>
      <c r="P14" s="20" t="s">
        <v>370</v>
      </c>
    </row>
    <row r="15" customFormat="false" ht="15" hidden="false" customHeight="false" outlineLevel="0" collapsed="false">
      <c r="B15" s="4" t="s">
        <v>371</v>
      </c>
      <c r="C15" s="17" t="s">
        <v>105</v>
      </c>
      <c r="D15" s="32" t="n">
        <v>15.795</v>
      </c>
      <c r="E15" s="32" t="n">
        <v>25.397</v>
      </c>
      <c r="F15" s="32" t="n">
        <v>3.659</v>
      </c>
      <c r="G15" s="32" t="n">
        <v>24.225</v>
      </c>
      <c r="H15" s="32" t="n">
        <v>4.899</v>
      </c>
      <c r="I15" s="32" t="n">
        <v>5.921</v>
      </c>
      <c r="J15" s="38" t="n">
        <f aca="false">G15+I15-H15</f>
        <v>25.247</v>
      </c>
      <c r="K15" s="22"/>
      <c r="L15" s="22"/>
      <c r="M15" s="22"/>
      <c r="N15" s="22"/>
      <c r="O15" s="22"/>
      <c r="P15" s="20" t="s">
        <v>372</v>
      </c>
    </row>
    <row r="16" customFormat="false" ht="15" hidden="false" customHeight="false" outlineLevel="0" collapsed="false">
      <c r="B16" s="4" t="s">
        <v>373</v>
      </c>
      <c r="C16" s="17" t="s">
        <v>105</v>
      </c>
      <c r="D16" s="32" t="n">
        <v>-51.41</v>
      </c>
      <c r="E16" s="32" t="n">
        <v>-39.878</v>
      </c>
      <c r="F16" s="32" t="n">
        <v>28.795</v>
      </c>
      <c r="G16" s="32" t="n">
        <v>-61.688</v>
      </c>
      <c r="H16" s="32" t="n">
        <v>-126.188</v>
      </c>
      <c r="I16" s="32" t="n">
        <v>-82.931</v>
      </c>
      <c r="J16" s="38" t="n">
        <f aca="false">G16+I16-H16</f>
        <v>-18.431</v>
      </c>
      <c r="K16" s="22"/>
      <c r="L16" s="22"/>
      <c r="M16" s="22"/>
      <c r="N16" s="22"/>
      <c r="O16" s="22"/>
    </row>
    <row r="17" customFormat="false" ht="15" hidden="false" customHeight="false" outlineLevel="0" collapsed="false">
      <c r="B17" s="4" t="s">
        <v>374</v>
      </c>
      <c r="C17" s="17" t="s">
        <v>105</v>
      </c>
      <c r="D17" s="32" t="n">
        <v>61.94</v>
      </c>
      <c r="E17" s="32" t="n">
        <v>-41.201</v>
      </c>
      <c r="F17" s="32" t="n">
        <v>-14.441</v>
      </c>
      <c r="G17" s="32" t="n">
        <v>-12.001</v>
      </c>
      <c r="H17" s="32" t="n">
        <v>-5.626</v>
      </c>
      <c r="I17" s="32" t="n">
        <v>0.379</v>
      </c>
      <c r="J17" s="38" t="n">
        <f aca="false">G17+I17-H17</f>
        <v>-5.996</v>
      </c>
      <c r="K17" s="22"/>
      <c r="L17" s="22"/>
      <c r="M17" s="22"/>
      <c r="N17" s="22"/>
      <c r="O17" s="22"/>
    </row>
    <row r="18" customFormat="false" ht="15" hidden="false" customHeight="false" outlineLevel="0" collapsed="false">
      <c r="B18" s="4" t="s">
        <v>375</v>
      </c>
      <c r="C18" s="17" t="s">
        <v>105</v>
      </c>
      <c r="D18" s="32" t="n">
        <v>0.91</v>
      </c>
      <c r="E18" s="32" t="n">
        <v>-19.668</v>
      </c>
      <c r="F18" s="32" t="n">
        <v>-29.775</v>
      </c>
      <c r="G18" s="32" t="n">
        <v>-18.884</v>
      </c>
      <c r="H18" s="32" t="n">
        <v>-25.712</v>
      </c>
      <c r="I18" s="32" t="n">
        <v>-12.154</v>
      </c>
      <c r="J18" s="38" t="n">
        <f aca="false">G18+I18-H18</f>
        <v>-5.326</v>
      </c>
      <c r="K18" s="22"/>
      <c r="L18" s="22"/>
      <c r="M18" s="22"/>
      <c r="N18" s="22"/>
      <c r="O18" s="22"/>
    </row>
    <row r="19" customFormat="false" ht="15" hidden="false" customHeight="false" outlineLevel="0" collapsed="false">
      <c r="B19" s="4" t="s">
        <v>323</v>
      </c>
      <c r="C19" s="17" t="s">
        <v>105</v>
      </c>
      <c r="D19" s="32" t="n">
        <v>-17.537</v>
      </c>
      <c r="E19" s="32" t="n">
        <v>41.485</v>
      </c>
      <c r="F19" s="32" t="n">
        <v>10.509</v>
      </c>
      <c r="G19" s="32" t="n">
        <v>17.836</v>
      </c>
      <c r="H19" s="32" t="n">
        <v>14.765</v>
      </c>
      <c r="I19" s="32" t="n">
        <v>2.981</v>
      </c>
      <c r="J19" s="38" t="n">
        <f aca="false">G19+I19-H19</f>
        <v>6.052</v>
      </c>
      <c r="K19" s="22"/>
      <c r="L19" s="22"/>
      <c r="M19" s="22"/>
      <c r="N19" s="22"/>
      <c r="O19" s="22"/>
    </row>
    <row r="20" customFormat="false" ht="15" hidden="false" customHeight="false" outlineLevel="0" collapsed="false">
      <c r="B20" s="4" t="s">
        <v>376</v>
      </c>
      <c r="C20" s="17" t="s">
        <v>105</v>
      </c>
      <c r="D20" s="32" t="n">
        <v>-12.396</v>
      </c>
      <c r="E20" s="32" t="n">
        <v>-11.533</v>
      </c>
      <c r="F20" s="32" t="n">
        <v>-11.65</v>
      </c>
      <c r="G20" s="32" t="n">
        <v>-11.146</v>
      </c>
      <c r="H20" s="32" t="n">
        <v>-5.663</v>
      </c>
      <c r="I20" s="32" t="n">
        <v>-4.867</v>
      </c>
      <c r="J20" s="38" t="n">
        <f aca="false">G20+I20-H20</f>
        <v>-10.35</v>
      </c>
      <c r="K20" s="22"/>
      <c r="L20" s="22"/>
      <c r="M20" s="22"/>
      <c r="N20" s="22"/>
      <c r="O20" s="22"/>
      <c r="P20" s="20" t="s">
        <v>377</v>
      </c>
    </row>
    <row r="21" customFormat="false" ht="15" hidden="false" customHeight="false" outlineLevel="0" collapsed="false">
      <c r="B21" s="4" t="s">
        <v>324</v>
      </c>
      <c r="C21" s="17" t="s">
        <v>105</v>
      </c>
      <c r="D21" s="32" t="n">
        <v>-24.344</v>
      </c>
      <c r="E21" s="32" t="n">
        <v>13.069</v>
      </c>
      <c r="F21" s="32" t="n">
        <v>43.387</v>
      </c>
      <c r="G21" s="32" t="n">
        <v>-3.336</v>
      </c>
      <c r="H21" s="32" t="n">
        <v>-19.727</v>
      </c>
      <c r="I21" s="32" t="n">
        <v>-21.386</v>
      </c>
      <c r="J21" s="38" t="n">
        <f aca="false">G21+I21-H21</f>
        <v>-4.995</v>
      </c>
      <c r="K21" s="22"/>
      <c r="L21" s="22"/>
      <c r="M21" s="22"/>
      <c r="N21" s="22"/>
      <c r="O21" s="22"/>
    </row>
    <row r="22" customFormat="false" ht="15" hidden="false" customHeight="false" outlineLevel="0" collapsed="false">
      <c r="B22" s="4" t="s">
        <v>378</v>
      </c>
      <c r="C22" s="17" t="s">
        <v>105</v>
      </c>
      <c r="D22" s="32" t="n">
        <v>59.46</v>
      </c>
      <c r="E22" s="32" t="n">
        <v>58.513</v>
      </c>
      <c r="F22" s="32" t="n">
        <v>90.775</v>
      </c>
      <c r="G22" s="32" t="n">
        <v>70.291</v>
      </c>
      <c r="H22" s="32" t="n">
        <v>18.531</v>
      </c>
      <c r="I22" s="32" t="n">
        <v>3.006</v>
      </c>
      <c r="J22" s="38" t="n">
        <f aca="false">G22+I22-H22</f>
        <v>54.766</v>
      </c>
      <c r="K22" s="22"/>
      <c r="L22" s="22"/>
      <c r="M22" s="22"/>
      <c r="N22" s="22"/>
      <c r="O22" s="22"/>
      <c r="P22" s="20" t="s">
        <v>379</v>
      </c>
    </row>
    <row r="23" customFormat="false" ht="15" hidden="false" customHeight="false" outlineLevel="0" collapsed="false">
      <c r="B23" s="4" t="s">
        <v>340</v>
      </c>
      <c r="C23" s="17" t="s">
        <v>105</v>
      </c>
      <c r="D23" s="32" t="n">
        <v>9.932</v>
      </c>
      <c r="E23" s="32" t="n">
        <v>-0.376</v>
      </c>
      <c r="F23" s="32" t="n">
        <v>4.761</v>
      </c>
      <c r="G23" s="32" t="n">
        <v>-0.842</v>
      </c>
      <c r="H23" s="32" t="n">
        <v>-0.314</v>
      </c>
      <c r="I23" s="32" t="n">
        <v>3.632</v>
      </c>
      <c r="J23" s="38" t="n">
        <f aca="false">G23+I23-H23</f>
        <v>3.104</v>
      </c>
      <c r="K23" s="22"/>
      <c r="L23" s="22"/>
      <c r="M23" s="22"/>
      <c r="N23" s="22"/>
      <c r="O23" s="22"/>
    </row>
    <row r="24" customFormat="false" ht="15" hidden="false" customHeight="false" outlineLevel="0" collapsed="false">
      <c r="B24" s="39" t="s">
        <v>380</v>
      </c>
      <c r="C24" s="40" t="s">
        <v>105</v>
      </c>
      <c r="D24" s="41" t="n">
        <f aca="false">SUM(D9:D23)</f>
        <v>381.455</v>
      </c>
      <c r="E24" s="41" t="n">
        <f aca="false">SUM(E9:E23)</f>
        <v>380.44</v>
      </c>
      <c r="F24" s="41" t="n">
        <f aca="false">SUM(F9:F23)</f>
        <v>624.633</v>
      </c>
      <c r="G24" s="41" t="n">
        <f aca="false">SUM(G9:G23)</f>
        <v>653.543</v>
      </c>
      <c r="H24" s="41" t="n">
        <f aca="false">SUM(H9:H23)</f>
        <v>154.469</v>
      </c>
      <c r="I24" s="41" t="n">
        <f aca="false">SUM(I9:I23)</f>
        <v>231.673</v>
      </c>
      <c r="J24" s="41" t="n">
        <f aca="false">SUM(J9:J23)</f>
        <v>730.747</v>
      </c>
      <c r="K24" s="42"/>
      <c r="L24" s="42"/>
      <c r="M24" s="42"/>
      <c r="N24" s="42"/>
      <c r="O24" s="42"/>
    </row>
    <row r="25" customFormat="false" ht="15" hidden="false" customHeight="false" outlineLevel="0" collapsed="false">
      <c r="B25" s="4" t="s">
        <v>381</v>
      </c>
      <c r="C25" s="17" t="s">
        <v>105</v>
      </c>
      <c r="D25" s="38" t="n">
        <f aca="false">SUM(D15:D23)</f>
        <v>42.35</v>
      </c>
      <c r="E25" s="38" t="n">
        <f aca="false">SUM(E15:E23)</f>
        <v>25.808</v>
      </c>
      <c r="F25" s="38" t="n">
        <f aca="false">SUM(F15:F23)</f>
        <v>126.02</v>
      </c>
      <c r="G25" s="38" t="n">
        <f aca="false">SUM(G15:G23)</f>
        <v>4.45499999999999</v>
      </c>
      <c r="H25" s="38" t="n">
        <f aca="false">SUM(H15:H23)</f>
        <v>-145.035</v>
      </c>
      <c r="I25" s="38" t="n">
        <f aca="false">SUM(I15:I23)</f>
        <v>-105.419</v>
      </c>
      <c r="J25" s="38" t="n">
        <f aca="false">SUM(J15:J23)</f>
        <v>44.071</v>
      </c>
      <c r="K25" s="22"/>
      <c r="L25" s="22"/>
      <c r="M25" s="22"/>
      <c r="N25" s="22"/>
      <c r="O25" s="22"/>
      <c r="P25" s="20" t="s">
        <v>382</v>
      </c>
    </row>
    <row r="26" customFormat="false" ht="15" hidden="false" customHeight="false" outlineLevel="0" collapsed="false">
      <c r="B26" s="6" t="s">
        <v>383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customFormat="false" ht="15" hidden="false" customHeight="false" outlineLevel="0" collapsed="false">
      <c r="B27" s="4" t="s">
        <v>384</v>
      </c>
      <c r="C27" s="17" t="s">
        <v>105</v>
      </c>
      <c r="D27" s="32" t="n">
        <v>-50.151</v>
      </c>
      <c r="E27" s="32" t="n">
        <v>-53.009</v>
      </c>
      <c r="F27" s="32" t="n">
        <v>-49.936</v>
      </c>
      <c r="G27" s="32" t="n">
        <v>-32.793</v>
      </c>
      <c r="H27" s="32" t="n">
        <v>-18.222</v>
      </c>
      <c r="I27" s="32" t="n">
        <v>-10.393</v>
      </c>
      <c r="J27" s="38" t="n">
        <f aca="false">G27+I27-H27</f>
        <v>-24.964</v>
      </c>
      <c r="K27" s="22"/>
      <c r="L27" s="22"/>
      <c r="M27" s="22"/>
      <c r="N27" s="22"/>
      <c r="O27" s="22"/>
      <c r="P27" s="20" t="s">
        <v>385</v>
      </c>
    </row>
    <row r="28" customFormat="false" ht="15" hidden="false" customHeight="false" outlineLevel="0" collapsed="false">
      <c r="B28" s="4" t="s">
        <v>386</v>
      </c>
      <c r="C28" s="17" t="s">
        <v>105</v>
      </c>
      <c r="D28" s="32" t="n">
        <v>-22.529</v>
      </c>
      <c r="E28" s="32" t="n">
        <v>-20.519</v>
      </c>
      <c r="F28" s="32" t="n">
        <v>-20.535</v>
      </c>
      <c r="G28" s="32" t="n">
        <v>-16.015</v>
      </c>
      <c r="H28" s="32" t="n">
        <v>-7.822</v>
      </c>
      <c r="I28" s="32" t="n">
        <v>-8.288</v>
      </c>
      <c r="J28" s="38" t="n">
        <f aca="false">G28+I28-H28</f>
        <v>-16.481</v>
      </c>
      <c r="K28" s="22"/>
      <c r="L28" s="22"/>
      <c r="M28" s="22"/>
      <c r="N28" s="22"/>
      <c r="O28" s="22"/>
    </row>
    <row r="29" customFormat="false" ht="15" hidden="false" customHeight="false" outlineLevel="0" collapsed="false">
      <c r="B29" s="4" t="s">
        <v>387</v>
      </c>
      <c r="C29" s="17" t="s">
        <v>105</v>
      </c>
      <c r="D29" s="32" t="n">
        <v>-27.622</v>
      </c>
      <c r="E29" s="32" t="n">
        <v>-32.49</v>
      </c>
      <c r="F29" s="32" t="n">
        <v>-29.401</v>
      </c>
      <c r="G29" s="32" t="n">
        <v>-16.778</v>
      </c>
      <c r="H29" s="32" t="n">
        <v>-10.4</v>
      </c>
      <c r="I29" s="32" t="n">
        <v>-2.105</v>
      </c>
      <c r="J29" s="38" t="n">
        <f aca="false">G29+I29-H29</f>
        <v>-8.483</v>
      </c>
      <c r="K29" s="22"/>
      <c r="L29" s="22"/>
      <c r="M29" s="22"/>
      <c r="N29" s="22"/>
      <c r="O29" s="22"/>
    </row>
    <row r="30" customFormat="false" ht="15" hidden="false" customHeight="false" outlineLevel="0" collapsed="false">
      <c r="B30" s="4" t="s">
        <v>388</v>
      </c>
      <c r="C30" s="17" t="s">
        <v>105</v>
      </c>
      <c r="D30" s="32" t="n">
        <v>-163.921</v>
      </c>
      <c r="E30" s="32" t="n">
        <v>-62.759</v>
      </c>
      <c r="F30" s="32" t="n">
        <v>-1.395</v>
      </c>
      <c r="G30" s="32" t="n">
        <v>-83.652</v>
      </c>
      <c r="H30" s="32" t="n">
        <v>-18.23</v>
      </c>
      <c r="I30" s="32" t="n">
        <v>-214.291</v>
      </c>
      <c r="J30" s="38" t="n">
        <f aca="false">G30+I30-H30</f>
        <v>-279.713</v>
      </c>
      <c r="K30" s="22"/>
      <c r="L30" s="22"/>
      <c r="M30" s="22"/>
      <c r="N30" s="22"/>
      <c r="O30" s="22"/>
    </row>
    <row r="31" customFormat="false" ht="15" hidden="false" customHeight="false" outlineLevel="0" collapsed="false">
      <c r="B31" s="4" t="s">
        <v>389</v>
      </c>
      <c r="C31" s="17" t="s">
        <v>105</v>
      </c>
      <c r="D31" s="32" t="n">
        <v>41.099</v>
      </c>
      <c r="E31" s="32" t="n">
        <v>38.795</v>
      </c>
      <c r="F31" s="32" t="n">
        <v>-16.454</v>
      </c>
      <c r="G31" s="32" t="n">
        <v>-106.575</v>
      </c>
      <c r="H31" s="32" t="n">
        <v>-73.002</v>
      </c>
      <c r="I31" s="32" t="n">
        <v>22.279</v>
      </c>
      <c r="J31" s="38" t="n">
        <f aca="false">G31+I31-H31</f>
        <v>-11.294</v>
      </c>
      <c r="K31" s="22"/>
      <c r="L31" s="22"/>
      <c r="M31" s="22"/>
      <c r="N31" s="22"/>
      <c r="O31" s="22"/>
      <c r="P31" s="20" t="s">
        <v>390</v>
      </c>
    </row>
    <row r="32" customFormat="false" ht="15" hidden="false" customHeight="false" outlineLevel="0" collapsed="false">
      <c r="B32" s="4" t="s">
        <v>391</v>
      </c>
      <c r="C32" s="17" t="s">
        <v>105</v>
      </c>
      <c r="D32" s="32" t="n">
        <v>0.443</v>
      </c>
      <c r="E32" s="32" t="n">
        <v>0.013</v>
      </c>
      <c r="F32" s="32" t="n">
        <v>0.173</v>
      </c>
      <c r="G32" s="32" t="n">
        <v>0.526</v>
      </c>
      <c r="H32" s="32" t="n">
        <v>0.526</v>
      </c>
      <c r="I32" s="32" t="n">
        <v>0.013</v>
      </c>
      <c r="J32" s="38" t="n">
        <f aca="false">G32+I32-H32</f>
        <v>0.013</v>
      </c>
      <c r="K32" s="22"/>
      <c r="L32" s="22"/>
      <c r="M32" s="22"/>
      <c r="N32" s="22"/>
      <c r="O32" s="22"/>
    </row>
    <row r="33" customFormat="false" ht="15" hidden="false" customHeight="false" outlineLevel="0" collapsed="false">
      <c r="B33" s="39" t="s">
        <v>392</v>
      </c>
      <c r="C33" s="40" t="s">
        <v>105</v>
      </c>
      <c r="D33" s="41" t="n">
        <f aca="false">D27+SUM(D30:D32)</f>
        <v>-172.53</v>
      </c>
      <c r="E33" s="41" t="n">
        <f aca="false">E27+SUM(E30:E32)</f>
        <v>-76.96</v>
      </c>
      <c r="F33" s="41" t="n">
        <f aca="false">F27+SUM(F30:F32)</f>
        <v>-67.612</v>
      </c>
      <c r="G33" s="41" t="n">
        <f aca="false">G27+SUM(G30:G32)</f>
        <v>-222.494</v>
      </c>
      <c r="H33" s="41" t="n">
        <f aca="false">H27+SUM(H30:H32)</f>
        <v>-108.928</v>
      </c>
      <c r="I33" s="41" t="n">
        <f aca="false">I27+SUM(I30:I32)</f>
        <v>-202.392</v>
      </c>
      <c r="J33" s="41" t="n">
        <f aca="false">J27+SUM(J30:J32)</f>
        <v>-315.958</v>
      </c>
      <c r="K33" s="42"/>
      <c r="L33" s="42"/>
      <c r="M33" s="42"/>
      <c r="N33" s="42"/>
      <c r="O33" s="42"/>
    </row>
    <row r="34" customFormat="false" ht="15" hidden="false" customHeight="false" outlineLevel="0" collapsed="false">
      <c r="B34" s="6" t="s">
        <v>393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customFormat="false" ht="15" hidden="false" customHeight="false" outlineLevel="0" collapsed="false">
      <c r="B35" s="4" t="s">
        <v>394</v>
      </c>
      <c r="C35" s="17" t="s">
        <v>105</v>
      </c>
      <c r="D35" s="32" t="n">
        <v>-360</v>
      </c>
      <c r="E35" s="32" t="n">
        <v>-345</v>
      </c>
      <c r="F35" s="32" t="n">
        <v>-50</v>
      </c>
      <c r="G35" s="32" t="n">
        <v>0</v>
      </c>
      <c r="H35" s="32" t="n">
        <v>0</v>
      </c>
      <c r="I35" s="32" t="n">
        <v>-600</v>
      </c>
      <c r="J35" s="38" t="n">
        <f aca="false">G35+I35-H35</f>
        <v>-600</v>
      </c>
      <c r="K35" s="22"/>
      <c r="L35" s="22"/>
      <c r="M35" s="22"/>
      <c r="N35" s="22"/>
      <c r="O35" s="22"/>
    </row>
    <row r="36" customFormat="false" ht="15" hidden="false" customHeight="false" outlineLevel="0" collapsed="false">
      <c r="B36" s="4" t="s">
        <v>395</v>
      </c>
      <c r="C36" s="17" t="s">
        <v>105</v>
      </c>
      <c r="D36" s="32" t="n">
        <v>0</v>
      </c>
      <c r="E36" s="32" t="n">
        <v>0</v>
      </c>
      <c r="F36" s="32" t="n">
        <v>0</v>
      </c>
      <c r="G36" s="32" t="n">
        <v>0</v>
      </c>
      <c r="H36" s="32" t="n">
        <v>0</v>
      </c>
      <c r="I36" s="32" t="n">
        <v>1437.5</v>
      </c>
      <c r="J36" s="38" t="n">
        <f aca="false">G36+I36-H36</f>
        <v>1437.5</v>
      </c>
      <c r="K36" s="22"/>
      <c r="L36" s="22"/>
      <c r="M36" s="22"/>
      <c r="N36" s="22"/>
      <c r="O36" s="22"/>
    </row>
    <row r="37" customFormat="false" ht="15" hidden="false" customHeight="false" outlineLevel="0" collapsed="false">
      <c r="B37" s="4" t="s">
        <v>396</v>
      </c>
      <c r="C37" s="17" t="s">
        <v>105</v>
      </c>
      <c r="D37" s="32" t="n">
        <v>0</v>
      </c>
      <c r="E37" s="32" t="n">
        <v>0</v>
      </c>
      <c r="F37" s="32" t="n">
        <v>0</v>
      </c>
      <c r="G37" s="32" t="n">
        <v>0</v>
      </c>
      <c r="H37" s="32" t="n">
        <v>0</v>
      </c>
      <c r="I37" s="32" t="n">
        <v>-187.163</v>
      </c>
      <c r="J37" s="38" t="n">
        <f aca="false">G37+I37-H37</f>
        <v>-187.163</v>
      </c>
      <c r="K37" s="22"/>
      <c r="L37" s="22"/>
      <c r="M37" s="22"/>
      <c r="N37" s="22"/>
      <c r="O37" s="22"/>
    </row>
    <row r="38" customFormat="false" ht="15" hidden="false" customHeight="false" outlineLevel="0" collapsed="false">
      <c r="B38" s="4" t="s">
        <v>397</v>
      </c>
      <c r="C38" s="17" t="s">
        <v>105</v>
      </c>
      <c r="D38" s="32" t="n">
        <v>0</v>
      </c>
      <c r="E38" s="32" t="n">
        <v>0</v>
      </c>
      <c r="F38" s="32" t="n">
        <v>-2.637</v>
      </c>
      <c r="G38" s="32" t="n">
        <v>0</v>
      </c>
      <c r="H38" s="32" t="n">
        <v>0</v>
      </c>
      <c r="I38" s="32" t="n">
        <v>-31.704</v>
      </c>
      <c r="J38" s="38" t="n">
        <f aca="false">G38+I38-H38</f>
        <v>-31.704</v>
      </c>
      <c r="K38" s="22"/>
      <c r="L38" s="22"/>
      <c r="M38" s="22"/>
      <c r="N38" s="22"/>
      <c r="O38" s="22"/>
    </row>
    <row r="39" customFormat="false" ht="15" hidden="false" customHeight="false" outlineLevel="0" collapsed="false">
      <c r="B39" s="4" t="s">
        <v>398</v>
      </c>
      <c r="C39" s="17" t="s">
        <v>105</v>
      </c>
      <c r="D39" s="32" t="n">
        <v>0</v>
      </c>
      <c r="E39" s="32" t="n">
        <v>0</v>
      </c>
      <c r="F39" s="32" t="n">
        <v>0</v>
      </c>
      <c r="G39" s="32" t="n">
        <v>-174.65</v>
      </c>
      <c r="H39" s="32" t="n">
        <v>-1.605</v>
      </c>
      <c r="I39" s="32" t="n">
        <v>-755.005</v>
      </c>
      <c r="J39" s="38" t="n">
        <f aca="false">G39+I39-H39</f>
        <v>-928.05</v>
      </c>
      <c r="K39" s="22"/>
      <c r="L39" s="22"/>
      <c r="M39" s="22"/>
      <c r="N39" s="22"/>
      <c r="O39" s="22"/>
      <c r="P39" s="20" t="s">
        <v>399</v>
      </c>
    </row>
    <row r="40" customFormat="false" ht="15" hidden="false" customHeight="false" outlineLevel="0" collapsed="false">
      <c r="B40" s="4" t="s">
        <v>400</v>
      </c>
      <c r="C40" s="17" t="s">
        <v>105</v>
      </c>
      <c r="D40" s="32" t="n">
        <v>-0.89</v>
      </c>
      <c r="E40" s="32" t="n">
        <v>16.96</v>
      </c>
      <c r="F40" s="32" t="n">
        <v>57.213</v>
      </c>
      <c r="G40" s="32" t="n">
        <v>3.144</v>
      </c>
      <c r="H40" s="32" t="n">
        <v>-3.155</v>
      </c>
      <c r="I40" s="32" t="n">
        <v>-22.134</v>
      </c>
      <c r="J40" s="38" t="n">
        <f aca="false">G40+I40-H40</f>
        <v>-15.835</v>
      </c>
      <c r="K40" s="22"/>
      <c r="L40" s="22"/>
      <c r="M40" s="22"/>
      <c r="N40" s="22"/>
      <c r="O40" s="22"/>
    </row>
    <row r="41" customFormat="false" ht="15" hidden="false" customHeight="false" outlineLevel="0" collapsed="false">
      <c r="B41" s="4" t="s">
        <v>401</v>
      </c>
      <c r="C41" s="17" t="s">
        <v>105</v>
      </c>
      <c r="D41" s="32" t="n">
        <v>16.651</v>
      </c>
      <c r="E41" s="32" t="n">
        <v>16.196</v>
      </c>
      <c r="F41" s="32" t="n">
        <v>17.631</v>
      </c>
      <c r="G41" s="32" t="n">
        <v>18.848</v>
      </c>
      <c r="H41" s="32" t="n">
        <v>9.322</v>
      </c>
      <c r="I41" s="32" t="n">
        <v>9.178</v>
      </c>
      <c r="J41" s="38" t="n">
        <f aca="false">G41+I41-H41</f>
        <v>18.704</v>
      </c>
      <c r="K41" s="22"/>
      <c r="L41" s="22"/>
      <c r="M41" s="22"/>
      <c r="N41" s="22"/>
      <c r="O41" s="22"/>
    </row>
    <row r="42" customFormat="false" ht="15" hidden="false" customHeight="false" outlineLevel="0" collapsed="false">
      <c r="B42" s="4" t="s">
        <v>402</v>
      </c>
      <c r="C42" s="17" t="s">
        <v>105</v>
      </c>
      <c r="D42" s="32" t="n">
        <v>0</v>
      </c>
      <c r="E42" s="32" t="n">
        <v>0</v>
      </c>
      <c r="F42" s="32" t="n">
        <v>0</v>
      </c>
      <c r="G42" s="32" t="n">
        <v>-7.712</v>
      </c>
      <c r="H42" s="32" t="n">
        <v>-7.377</v>
      </c>
      <c r="I42" s="32" t="n">
        <v>0</v>
      </c>
      <c r="J42" s="38" t="n">
        <f aca="false">G42+I42-H42</f>
        <v>-0.335</v>
      </c>
      <c r="K42" s="22"/>
      <c r="L42" s="22"/>
      <c r="M42" s="22"/>
      <c r="N42" s="22"/>
      <c r="O42" s="22"/>
    </row>
    <row r="43" customFormat="false" ht="15" hidden="false" customHeight="false" outlineLevel="0" collapsed="false">
      <c r="B43" s="4" t="s">
        <v>403</v>
      </c>
      <c r="C43" s="17" t="s">
        <v>105</v>
      </c>
      <c r="D43" s="32" t="n">
        <v>0</v>
      </c>
      <c r="E43" s="32" t="n">
        <v>0</v>
      </c>
      <c r="F43" s="32" t="n">
        <v>0</v>
      </c>
      <c r="G43" s="32" t="n">
        <v>0</v>
      </c>
      <c r="H43" s="32" t="n">
        <v>0</v>
      </c>
      <c r="I43" s="32" t="n">
        <v>0</v>
      </c>
      <c r="J43" s="38" t="n">
        <f aca="false">G43+I43-H43</f>
        <v>0</v>
      </c>
      <c r="K43" s="22"/>
      <c r="L43" s="22"/>
      <c r="M43" s="22"/>
      <c r="N43" s="22"/>
      <c r="O43" s="22"/>
    </row>
    <row r="44" customFormat="false" ht="15" hidden="false" customHeight="false" outlineLevel="0" collapsed="false">
      <c r="B44" s="39" t="s">
        <v>404</v>
      </c>
      <c r="C44" s="40" t="s">
        <v>105</v>
      </c>
      <c r="D44" s="41" t="n">
        <f aca="false">SUM(D35:D43)</f>
        <v>-344.239</v>
      </c>
      <c r="E44" s="41" t="n">
        <f aca="false">SUM(E35:E43)</f>
        <v>-311.844</v>
      </c>
      <c r="F44" s="41" t="n">
        <f aca="false">SUM(F35:F43)</f>
        <v>22.207</v>
      </c>
      <c r="G44" s="41" t="n">
        <f aca="false">SUM(G35:G43)</f>
        <v>-160.37</v>
      </c>
      <c r="H44" s="41" t="n">
        <f aca="false">SUM(H35:H43)</f>
        <v>-2.815</v>
      </c>
      <c r="I44" s="41" t="n">
        <f aca="false">SUM(I35:I43)</f>
        <v>-149.328</v>
      </c>
      <c r="J44" s="41" t="n">
        <f aca="false">SUM(J35:J43)</f>
        <v>-306.883</v>
      </c>
      <c r="K44" s="42"/>
      <c r="L44" s="42"/>
      <c r="M44" s="42"/>
      <c r="N44" s="42"/>
      <c r="O44" s="42"/>
    </row>
    <row r="45" customFormat="false" ht="15" hidden="false" customHeight="false" outlineLevel="0" collapsed="false">
      <c r="B45" s="6" t="s">
        <v>405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customFormat="false" ht="15" hidden="false" customHeight="false" outlineLevel="0" collapsed="false">
      <c r="B46" s="39" t="s">
        <v>406</v>
      </c>
      <c r="C46" s="40" t="s">
        <v>105</v>
      </c>
      <c r="D46" s="41" t="n">
        <f aca="false">D24+D33+D44</f>
        <v>-135.314</v>
      </c>
      <c r="E46" s="41" t="n">
        <f aca="false">E24+E33+E44</f>
        <v>-8.36399999999998</v>
      </c>
      <c r="F46" s="41" t="n">
        <f aca="false">F24+F33+F44</f>
        <v>579.228</v>
      </c>
      <c r="G46" s="41" t="n">
        <f aca="false">G24+G33+G44</f>
        <v>270.679</v>
      </c>
      <c r="H46" s="41" t="n">
        <f aca="false">H24+H33+H44</f>
        <v>42.726</v>
      </c>
      <c r="I46" s="41" t="n">
        <f aca="false">I24+I33+I44</f>
        <v>-120.047</v>
      </c>
      <c r="J46" s="41" t="n">
        <f aca="false">J24+J33+J44</f>
        <v>107.906</v>
      </c>
      <c r="K46" s="42"/>
      <c r="L46" s="42"/>
      <c r="M46" s="42"/>
      <c r="N46" s="42"/>
      <c r="O46" s="42"/>
    </row>
    <row r="47" customFormat="false" ht="15" hidden="false" customHeight="false" outlineLevel="0" collapsed="false">
      <c r="B47" s="4" t="s">
        <v>407</v>
      </c>
      <c r="C47" s="17" t="s">
        <v>105</v>
      </c>
      <c r="D47" s="32" t="n">
        <v>309.171</v>
      </c>
      <c r="E47" s="38" t="n">
        <f aca="false">D48</f>
        <v>173.857</v>
      </c>
      <c r="F47" s="38" t="n">
        <f aca="false">E48</f>
        <v>165.493</v>
      </c>
      <c r="G47" s="38" t="n">
        <f aca="false">F48</f>
        <v>744.721</v>
      </c>
      <c r="H47" s="38" t="n">
        <f aca="false">F48</f>
        <v>744.721</v>
      </c>
      <c r="I47" s="38" t="n">
        <f aca="false">G48</f>
        <v>1015.4</v>
      </c>
      <c r="J47" s="32" t="n">
        <v>787.447</v>
      </c>
      <c r="K47" s="22"/>
      <c r="L47" s="22"/>
      <c r="M47" s="22"/>
      <c r="N47" s="22"/>
      <c r="O47" s="22"/>
      <c r="P47" s="20" t="s">
        <v>408</v>
      </c>
    </row>
    <row r="48" customFormat="false" ht="15" hidden="false" customHeight="false" outlineLevel="0" collapsed="false">
      <c r="B48" s="39" t="s">
        <v>409</v>
      </c>
      <c r="C48" s="40" t="s">
        <v>105</v>
      </c>
      <c r="D48" s="41" t="n">
        <f aca="false">D47+D46</f>
        <v>173.857</v>
      </c>
      <c r="E48" s="41" t="n">
        <f aca="false">E47+E46</f>
        <v>165.493</v>
      </c>
      <c r="F48" s="41" t="n">
        <f aca="false">F47+F46</f>
        <v>744.721</v>
      </c>
      <c r="G48" s="41" t="n">
        <f aca="false">G47+G46</f>
        <v>1015.4</v>
      </c>
      <c r="H48" s="41" t="n">
        <f aca="false">H47+H46</f>
        <v>787.447</v>
      </c>
      <c r="I48" s="41" t="n">
        <f aca="false">I47+I46</f>
        <v>895.353</v>
      </c>
      <c r="J48" s="41" t="n">
        <f aca="false">J47+J46</f>
        <v>895.353</v>
      </c>
      <c r="K48" s="42"/>
      <c r="L48" s="42"/>
      <c r="M48" s="42"/>
      <c r="N48" s="42"/>
      <c r="O48" s="42"/>
    </row>
    <row r="49" customFormat="false" ht="15" hidden="false" customHeight="false" outlineLevel="0" collapsed="false">
      <c r="B49" s="4" t="s">
        <v>410</v>
      </c>
      <c r="C49" s="17" t="s">
        <v>105</v>
      </c>
      <c r="K49" s="22"/>
      <c r="L49" s="22"/>
      <c r="M49" s="22"/>
      <c r="N49" s="22"/>
      <c r="O49" s="22"/>
    </row>
    <row r="50" customFormat="false" ht="15" hidden="false" customHeight="false" outlineLevel="0" collapsed="false">
      <c r="B50" s="4" t="s">
        <v>411</v>
      </c>
      <c r="C50" s="17" t="s">
        <v>105</v>
      </c>
      <c r="D50" s="38" t="n">
        <f aca="false">D24+D27</f>
        <v>331.304</v>
      </c>
      <c r="E50" s="38" t="n">
        <f aca="false">E24+E27</f>
        <v>327.431</v>
      </c>
      <c r="F50" s="38" t="n">
        <f aca="false">F24+F27</f>
        <v>574.697</v>
      </c>
      <c r="G50" s="38" t="n">
        <f aca="false">G24+G27</f>
        <v>620.75</v>
      </c>
      <c r="H50" s="38" t="n">
        <f aca="false">H24+H27</f>
        <v>136.247</v>
      </c>
      <c r="I50" s="38" t="n">
        <f aca="false">I24+I27</f>
        <v>221.28</v>
      </c>
      <c r="J50" s="38" t="n">
        <f aca="false">J24+J27</f>
        <v>705.783</v>
      </c>
      <c r="K50" s="22"/>
      <c r="L50" s="22"/>
      <c r="M50" s="22"/>
      <c r="N50" s="22"/>
      <c r="O50" s="22"/>
      <c r="P50" s="20" t="s">
        <v>412</v>
      </c>
    </row>
    <row r="51" customFormat="false" ht="15" hidden="false" customHeight="false" outlineLevel="0" collapsed="false">
      <c r="B51" s="4" t="s">
        <v>413</v>
      </c>
      <c r="C51" s="17" t="s">
        <v>85</v>
      </c>
      <c r="D51" s="18" t="n">
        <f aca="false">D50/IS!D8</f>
        <v>0.179063497862938</v>
      </c>
      <c r="E51" s="18" t="n">
        <f aca="false">E50/IS!E8</f>
        <v>0.167762691039994</v>
      </c>
      <c r="F51" s="18" t="n">
        <f aca="false">F50/IS!F8</f>
        <v>0.268825986304631</v>
      </c>
      <c r="G51" s="18" t="n">
        <f aca="false">G50/IS!G8</f>
        <v>0.266149017724689</v>
      </c>
      <c r="H51" s="18" t="n">
        <f aca="false">H50/IS!H8</f>
        <v>0.117324646382188</v>
      </c>
      <c r="I51" s="18" t="n">
        <f aca="false">I50/IS!I8</f>
        <v>0.175814536639549</v>
      </c>
      <c r="J51" s="18" t="n">
        <f aca="false">J50/IS!J8</f>
        <v>0.290486681864971</v>
      </c>
      <c r="K51" s="19"/>
      <c r="L51" s="19"/>
      <c r="M51" s="19"/>
      <c r="N51" s="19"/>
      <c r="O51" s="19"/>
      <c r="P51" s="20" t="s">
        <v>414</v>
      </c>
    </row>
    <row r="52" customFormat="false" ht="15" hidden="false" customHeight="false" outlineLevel="0" collapsed="false">
      <c r="B52" s="4" t="s">
        <v>415</v>
      </c>
      <c r="C52" s="17" t="s">
        <v>105</v>
      </c>
      <c r="D52" s="38" t="n">
        <f aca="false">D50-D11</f>
        <v>228.319</v>
      </c>
      <c r="E52" s="38" t="n">
        <f aca="false">E50-E11</f>
        <v>219.093</v>
      </c>
      <c r="F52" s="38" t="n">
        <f aca="false">F50-F11</f>
        <v>451.884</v>
      </c>
      <c r="G52" s="38" t="n">
        <f aca="false">G50-G11</f>
        <v>469.474</v>
      </c>
      <c r="H52" s="38" t="n">
        <f aca="false">H50-H11</f>
        <v>60.285</v>
      </c>
      <c r="I52" s="38" t="n">
        <f aca="false">I50-I11</f>
        <v>140.459</v>
      </c>
      <c r="J52" s="38" t="n">
        <f aca="false">J50-J11</f>
        <v>549.648</v>
      </c>
      <c r="K52" s="22"/>
      <c r="L52" s="22"/>
      <c r="M52" s="22"/>
      <c r="N52" s="22"/>
      <c r="O52" s="22"/>
      <c r="P52" s="20" t="s">
        <v>416</v>
      </c>
    </row>
    <row r="54" customFormat="false" ht="15" hidden="false" customHeight="false" outlineLevel="0" collapsed="false">
      <c r="B54" s="6" t="s">
        <v>358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customFormat="false" ht="15" hidden="false" customHeight="false" outlineLevel="0" collapsed="false">
      <c r="B55" s="4" t="s">
        <v>417</v>
      </c>
      <c r="C55" s="17" t="s">
        <v>105</v>
      </c>
      <c r="D55" s="32" t="n">
        <v>381.455</v>
      </c>
      <c r="E55" s="32" t="n">
        <v>380.44</v>
      </c>
      <c r="F55" s="32" t="n">
        <v>624.633</v>
      </c>
      <c r="G55" s="32" t="n">
        <v>653.543</v>
      </c>
      <c r="H55" s="32" t="n">
        <v>154.469</v>
      </c>
      <c r="I55" s="32" t="n">
        <v>231.673</v>
      </c>
    </row>
    <row r="56" customFormat="false" ht="15" hidden="false" customHeight="false" outlineLevel="0" collapsed="false">
      <c r="B56" s="4" t="s">
        <v>291</v>
      </c>
      <c r="C56" s="17" t="s">
        <v>105</v>
      </c>
      <c r="D56" s="38" t="n">
        <f aca="false">D24-D55</f>
        <v>0</v>
      </c>
      <c r="E56" s="38" t="n">
        <f aca="false">E24-E55</f>
        <v>0</v>
      </c>
      <c r="F56" s="38" t="n">
        <f aca="false">F24-F55</f>
        <v>0</v>
      </c>
      <c r="G56" s="38" t="n">
        <f aca="false">G24-G55</f>
        <v>0</v>
      </c>
      <c r="H56" s="38" t="n">
        <f aca="false">H24-H55</f>
        <v>0</v>
      </c>
      <c r="I56" s="38" t="n">
        <f aca="false">I24-I55</f>
        <v>0</v>
      </c>
    </row>
    <row r="57" customFormat="false" ht="15" hidden="false" customHeight="false" outlineLevel="0" collapsed="false">
      <c r="B57" s="4" t="s">
        <v>418</v>
      </c>
      <c r="C57" s="17" t="s">
        <v>105</v>
      </c>
      <c r="D57" s="32" t="n">
        <v>-172.53</v>
      </c>
      <c r="E57" s="32" t="n">
        <v>-76.96</v>
      </c>
      <c r="F57" s="32" t="n">
        <v>-67.612</v>
      </c>
      <c r="G57" s="32" t="n">
        <v>-222.494</v>
      </c>
      <c r="H57" s="32" t="n">
        <v>-108.928</v>
      </c>
      <c r="I57" s="32" t="n">
        <v>-202.392</v>
      </c>
    </row>
    <row r="58" customFormat="false" ht="15" hidden="false" customHeight="false" outlineLevel="0" collapsed="false">
      <c r="B58" s="4" t="s">
        <v>291</v>
      </c>
      <c r="C58" s="17" t="s">
        <v>105</v>
      </c>
      <c r="D58" s="38" t="n">
        <f aca="false">D33-D57</f>
        <v>0</v>
      </c>
      <c r="E58" s="38" t="n">
        <f aca="false">E33-E57</f>
        <v>0</v>
      </c>
      <c r="F58" s="38" t="n">
        <f aca="false">F33-F57</f>
        <v>0</v>
      </c>
      <c r="G58" s="38" t="n">
        <f aca="false">G33-G57</f>
        <v>0</v>
      </c>
      <c r="H58" s="38" t="n">
        <f aca="false">H33-H57</f>
        <v>0</v>
      </c>
      <c r="I58" s="38" t="n">
        <f aca="false">I33-I57</f>
        <v>0</v>
      </c>
    </row>
    <row r="59" customFormat="false" ht="15" hidden="false" customHeight="false" outlineLevel="0" collapsed="false">
      <c r="B59" s="4" t="s">
        <v>419</v>
      </c>
      <c r="C59" s="17" t="s">
        <v>105</v>
      </c>
      <c r="D59" s="32" t="n">
        <v>-344.239</v>
      </c>
      <c r="E59" s="32" t="n">
        <v>-311.844</v>
      </c>
      <c r="F59" s="32" t="n">
        <v>22.207</v>
      </c>
      <c r="G59" s="32" t="n">
        <v>-160.37</v>
      </c>
      <c r="H59" s="32" t="n">
        <v>-2.815</v>
      </c>
      <c r="I59" s="32" t="n">
        <v>-149.328</v>
      </c>
    </row>
    <row r="60" customFormat="false" ht="15" hidden="false" customHeight="false" outlineLevel="0" collapsed="false">
      <c r="B60" s="4" t="s">
        <v>291</v>
      </c>
      <c r="C60" s="17" t="s">
        <v>105</v>
      </c>
      <c r="D60" s="38" t="n">
        <f aca="false">D44-D59</f>
        <v>0</v>
      </c>
      <c r="E60" s="38" t="n">
        <f aca="false">E44-E59</f>
        <v>0</v>
      </c>
      <c r="F60" s="38" t="n">
        <f aca="false">F44-F59</f>
        <v>0</v>
      </c>
      <c r="G60" s="38" t="n">
        <f aca="false">G44-G59</f>
        <v>0</v>
      </c>
      <c r="H60" s="38" t="n">
        <f aca="false">H44-H59</f>
        <v>0</v>
      </c>
      <c r="I60" s="38" t="n">
        <f aca="false">I44-I59</f>
        <v>0</v>
      </c>
    </row>
    <row r="61" customFormat="false" ht="15" hidden="false" customHeight="false" outlineLevel="0" collapsed="false">
      <c r="B61" s="4" t="s">
        <v>420</v>
      </c>
      <c r="C61" s="17" t="s">
        <v>105</v>
      </c>
      <c r="D61" s="32" t="n">
        <v>173.857</v>
      </c>
      <c r="E61" s="32" t="n">
        <v>165.493</v>
      </c>
      <c r="F61" s="32" t="n">
        <v>744.721</v>
      </c>
      <c r="G61" s="32" t="n">
        <v>1015.4</v>
      </c>
      <c r="H61" s="32" t="n">
        <v>787.447</v>
      </c>
      <c r="I61" s="32" t="n">
        <v>895.353</v>
      </c>
    </row>
    <row r="62" customFormat="false" ht="15" hidden="false" customHeight="false" outlineLevel="0" collapsed="false">
      <c r="B62" s="4" t="s">
        <v>291</v>
      </c>
      <c r="C62" s="17" t="s">
        <v>105</v>
      </c>
      <c r="D62" s="38" t="n">
        <f aca="false">D48-D61</f>
        <v>0</v>
      </c>
      <c r="E62" s="38" t="n">
        <f aca="false">E48-E61</f>
        <v>0</v>
      </c>
      <c r="F62" s="38" t="n">
        <f aca="false">F48-F61</f>
        <v>0</v>
      </c>
      <c r="G62" s="38" t="n">
        <f aca="false">G48-G61</f>
        <v>0</v>
      </c>
      <c r="H62" s="38" t="n">
        <f aca="false">H48-H61</f>
        <v>0</v>
      </c>
      <c r="I62" s="38" t="n">
        <f aca="false">I48-I61</f>
        <v>0</v>
      </c>
    </row>
  </sheetData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IC Simulator · Tyler Technologies (TYL) · Advanced · Practice use only · 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P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3" min="3" style="0" width="9"/>
    <col collapsed="false" customWidth="true" hidden="false" outlineLevel="0" max="15" min="4" style="0" width="11.5"/>
    <col collapsed="false" customWidth="true" hidden="false" outlineLevel="0" max="16" min="16" style="0" width="70"/>
  </cols>
  <sheetData>
    <row r="1" customFormat="false" ht="17.35" hidden="false" customHeight="false" outlineLevel="0" collapsed="false">
      <c r="B1" s="9" t="s">
        <v>421</v>
      </c>
    </row>
    <row r="2" customFormat="false" ht="15" hidden="false" customHeight="false" outlineLevel="0" collapsed="false">
      <c r="B2" s="10" t="s">
        <v>422</v>
      </c>
    </row>
    <row r="4" customFormat="false" ht="15" hidden="false" customHeight="false" outlineLevel="0" collapsed="false">
      <c r="B4" s="11" t="s">
        <v>67</v>
      </c>
      <c r="C4" s="11" t="s">
        <v>12</v>
      </c>
      <c r="D4" s="12" t="s">
        <v>68</v>
      </c>
      <c r="E4" s="12" t="s">
        <v>69</v>
      </c>
      <c r="F4" s="12" t="s">
        <v>70</v>
      </c>
      <c r="G4" s="12" t="s">
        <v>71</v>
      </c>
      <c r="H4" s="12" t="s">
        <v>72</v>
      </c>
      <c r="I4" s="12" t="s">
        <v>73</v>
      </c>
      <c r="J4" s="12" t="s">
        <v>74</v>
      </c>
      <c r="K4" s="12" t="s">
        <v>75</v>
      </c>
      <c r="L4" s="12" t="s">
        <v>76</v>
      </c>
      <c r="M4" s="12" t="s">
        <v>77</v>
      </c>
      <c r="N4" s="12" t="s">
        <v>78</v>
      </c>
      <c r="O4" s="12" t="s">
        <v>79</v>
      </c>
      <c r="P4" s="11" t="s">
        <v>80</v>
      </c>
    </row>
    <row r="5" customFormat="false" ht="15" hidden="false" customHeight="false" outlineLevel="0" collapsed="false">
      <c r="B5" s="13" t="s">
        <v>81</v>
      </c>
      <c r="C5" s="14"/>
      <c r="D5" s="15" t="n">
        <v>44926</v>
      </c>
      <c r="E5" s="15" t="n">
        <v>45291</v>
      </c>
      <c r="F5" s="15" t="n">
        <v>45657</v>
      </c>
      <c r="G5" s="15" t="n">
        <v>46022</v>
      </c>
      <c r="H5" s="15" t="n">
        <v>45838</v>
      </c>
      <c r="I5" s="15" t="n">
        <v>46203</v>
      </c>
      <c r="J5" s="15" t="n">
        <v>46203</v>
      </c>
      <c r="K5" s="15" t="n">
        <v>46387</v>
      </c>
      <c r="L5" s="15" t="n">
        <v>46752</v>
      </c>
      <c r="M5" s="15" t="n">
        <v>47118</v>
      </c>
      <c r="N5" s="15" t="n">
        <v>47483</v>
      </c>
      <c r="O5" s="15" t="n">
        <v>47848</v>
      </c>
      <c r="P5" s="14"/>
    </row>
    <row r="6" customFormat="false" ht="15" hidden="false" customHeight="false" outlineLevel="0" collapsed="false">
      <c r="B6" s="13" t="s">
        <v>82</v>
      </c>
      <c r="C6" s="14"/>
      <c r="D6" s="16" t="n">
        <v>52</v>
      </c>
      <c r="E6" s="16" t="n">
        <v>52</v>
      </c>
      <c r="F6" s="16" t="n">
        <v>52</v>
      </c>
      <c r="G6" s="16" t="n">
        <v>52</v>
      </c>
      <c r="H6" s="16" t="n">
        <v>26</v>
      </c>
      <c r="I6" s="16" t="n">
        <v>26</v>
      </c>
      <c r="J6" s="16" t="n">
        <v>52</v>
      </c>
      <c r="K6" s="16" t="n">
        <v>52</v>
      </c>
      <c r="L6" s="16" t="n">
        <v>52</v>
      </c>
      <c r="M6" s="16" t="n">
        <v>52</v>
      </c>
      <c r="N6" s="16" t="n">
        <v>52</v>
      </c>
      <c r="O6" s="16" t="n">
        <v>52</v>
      </c>
      <c r="P6" s="14"/>
    </row>
    <row r="8" customFormat="false" ht="15" hidden="false" customHeight="false" outlineLevel="0" collapsed="false">
      <c r="B8" s="6" t="s">
        <v>423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customFormat="false" ht="15" hidden="false" customHeight="false" outlineLevel="0" collapsed="false">
      <c r="B9" s="4" t="s">
        <v>424</v>
      </c>
      <c r="C9" s="17" t="s">
        <v>105</v>
      </c>
      <c r="K9" s="22"/>
      <c r="L9" s="22"/>
      <c r="M9" s="22"/>
      <c r="N9" s="22"/>
      <c r="O9" s="22"/>
    </row>
    <row r="10" customFormat="false" ht="15" hidden="false" customHeight="false" outlineLevel="0" collapsed="false">
      <c r="B10" s="4" t="s">
        <v>425</v>
      </c>
      <c r="C10" s="17" t="s">
        <v>105</v>
      </c>
      <c r="K10" s="22"/>
      <c r="L10" s="22"/>
      <c r="M10" s="22"/>
      <c r="N10" s="22"/>
      <c r="O10" s="22"/>
      <c r="P10" s="20" t="s">
        <v>426</v>
      </c>
    </row>
    <row r="11" customFormat="false" ht="15" hidden="false" customHeight="false" outlineLevel="0" collapsed="false">
      <c r="B11" s="4" t="s">
        <v>427</v>
      </c>
      <c r="C11" s="17" t="s">
        <v>105</v>
      </c>
      <c r="K11" s="22"/>
      <c r="L11" s="22"/>
      <c r="M11" s="22"/>
      <c r="N11" s="22"/>
      <c r="O11" s="22"/>
      <c r="P11" s="20" t="s">
        <v>428</v>
      </c>
    </row>
    <row r="12" customFormat="false" ht="15" hidden="false" customHeight="false" outlineLevel="0" collapsed="false">
      <c r="B12" s="39" t="s">
        <v>429</v>
      </c>
      <c r="C12" s="40" t="s">
        <v>105</v>
      </c>
      <c r="D12" s="44" t="n">
        <v>594.484</v>
      </c>
      <c r="E12" s="44" t="n">
        <v>596.206</v>
      </c>
      <c r="F12" s="44" t="n">
        <v>597.934</v>
      </c>
      <c r="G12" s="44" t="n">
        <v>599.663</v>
      </c>
      <c r="H12" s="44" t="n">
        <v>598.798</v>
      </c>
      <c r="I12" s="44" t="n">
        <v>0</v>
      </c>
      <c r="J12" s="45"/>
      <c r="K12" s="42"/>
      <c r="L12" s="42"/>
      <c r="M12" s="42"/>
      <c r="N12" s="42"/>
      <c r="O12" s="42"/>
    </row>
    <row r="14" customFormat="false" ht="15" hidden="false" customHeight="false" outlineLevel="0" collapsed="false">
      <c r="B14" s="6" t="s">
        <v>430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customFormat="false" ht="15" hidden="false" customHeight="false" outlineLevel="0" collapsed="false">
      <c r="B15" s="4" t="s">
        <v>424</v>
      </c>
      <c r="C15" s="17" t="s">
        <v>105</v>
      </c>
      <c r="K15" s="22"/>
      <c r="L15" s="22"/>
      <c r="M15" s="22"/>
      <c r="N15" s="22"/>
      <c r="O15" s="22"/>
    </row>
    <row r="16" customFormat="false" ht="15" hidden="false" customHeight="false" outlineLevel="0" collapsed="false">
      <c r="B16" s="4" t="s">
        <v>431</v>
      </c>
      <c r="C16" s="17" t="s">
        <v>105</v>
      </c>
      <c r="K16" s="22"/>
      <c r="L16" s="22"/>
      <c r="M16" s="22"/>
      <c r="N16" s="22"/>
      <c r="O16" s="22"/>
      <c r="P16" s="20" t="s">
        <v>432</v>
      </c>
    </row>
    <row r="17" customFormat="false" ht="15" hidden="false" customHeight="false" outlineLevel="0" collapsed="false">
      <c r="B17" s="4" t="s">
        <v>433</v>
      </c>
      <c r="C17" s="17" t="s">
        <v>105</v>
      </c>
      <c r="K17" s="22"/>
      <c r="L17" s="22"/>
      <c r="M17" s="22"/>
      <c r="N17" s="22"/>
      <c r="O17" s="22"/>
    </row>
    <row r="18" customFormat="false" ht="15" hidden="false" customHeight="false" outlineLevel="0" collapsed="false">
      <c r="B18" s="4" t="s">
        <v>425</v>
      </c>
      <c r="C18" s="17" t="s">
        <v>105</v>
      </c>
      <c r="K18" s="22"/>
      <c r="L18" s="22"/>
      <c r="M18" s="22"/>
      <c r="N18" s="22"/>
      <c r="O18" s="22"/>
      <c r="P18" s="20" t="s">
        <v>434</v>
      </c>
    </row>
    <row r="19" customFormat="false" ht="15" hidden="false" customHeight="false" outlineLevel="0" collapsed="false">
      <c r="B19" s="39" t="s">
        <v>429</v>
      </c>
      <c r="C19" s="40" t="s">
        <v>105</v>
      </c>
      <c r="D19" s="45"/>
      <c r="E19" s="45"/>
      <c r="F19" s="45"/>
      <c r="G19" s="44" t="n">
        <v>0</v>
      </c>
      <c r="H19" s="45"/>
      <c r="I19" s="44" t="n">
        <v>1408.691</v>
      </c>
      <c r="J19" s="45"/>
      <c r="K19" s="42"/>
      <c r="L19" s="42"/>
      <c r="M19" s="42"/>
      <c r="N19" s="42"/>
      <c r="O19" s="42"/>
    </row>
    <row r="20" customFormat="false" ht="15" hidden="false" customHeight="false" outlineLevel="0" collapsed="false">
      <c r="B20" s="4" t="s">
        <v>435</v>
      </c>
      <c r="C20" s="17" t="s">
        <v>105</v>
      </c>
      <c r="G20" s="32" t="n">
        <v>0</v>
      </c>
      <c r="I20" s="32" t="n">
        <v>1437.5</v>
      </c>
      <c r="K20" s="22"/>
      <c r="L20" s="22"/>
      <c r="M20" s="22"/>
      <c r="N20" s="22"/>
      <c r="O20" s="22"/>
    </row>
    <row r="21" customFormat="false" ht="15" hidden="false" customHeight="false" outlineLevel="0" collapsed="false">
      <c r="B21" s="4" t="s">
        <v>436</v>
      </c>
      <c r="C21" s="17" t="s">
        <v>105</v>
      </c>
      <c r="K21" s="22"/>
      <c r="L21" s="22"/>
      <c r="M21" s="22"/>
      <c r="N21" s="22"/>
      <c r="O21" s="22"/>
      <c r="P21" s="20" t="s">
        <v>437</v>
      </c>
    </row>
    <row r="22" customFormat="false" ht="15" hidden="false" customHeight="false" outlineLevel="0" collapsed="false">
      <c r="B22" s="4" t="s">
        <v>438</v>
      </c>
      <c r="C22" s="17" t="s">
        <v>105</v>
      </c>
      <c r="K22" s="22"/>
      <c r="L22" s="22"/>
      <c r="M22" s="22"/>
      <c r="N22" s="22"/>
      <c r="O22" s="22"/>
    </row>
    <row r="24" customFormat="false" ht="15" hidden="false" customHeight="false" outlineLevel="0" collapsed="false">
      <c r="B24" s="6" t="s">
        <v>439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customFormat="false" ht="15" hidden="false" customHeight="false" outlineLevel="0" collapsed="false">
      <c r="B25" s="4" t="s">
        <v>440</v>
      </c>
      <c r="C25" s="17" t="s">
        <v>105</v>
      </c>
      <c r="G25" s="32" t="n">
        <v>700</v>
      </c>
      <c r="I25" s="32" t="n">
        <v>1000</v>
      </c>
      <c r="K25" s="22"/>
      <c r="L25" s="22"/>
      <c r="M25" s="22"/>
      <c r="N25" s="22"/>
      <c r="O25" s="22"/>
      <c r="P25" s="20" t="s">
        <v>441</v>
      </c>
    </row>
    <row r="26" customFormat="false" ht="15" hidden="false" customHeight="false" outlineLevel="0" collapsed="false">
      <c r="B26" s="4" t="s">
        <v>442</v>
      </c>
      <c r="C26" s="17" t="s">
        <v>105</v>
      </c>
      <c r="K26" s="22"/>
      <c r="L26" s="22"/>
      <c r="M26" s="22"/>
      <c r="N26" s="22"/>
      <c r="O26" s="22"/>
    </row>
    <row r="27" customFormat="false" ht="15" hidden="false" customHeight="false" outlineLevel="0" collapsed="false">
      <c r="B27" s="4" t="s">
        <v>443</v>
      </c>
      <c r="C27" s="17" t="s">
        <v>105</v>
      </c>
      <c r="K27" s="22"/>
      <c r="L27" s="22"/>
      <c r="M27" s="22"/>
      <c r="N27" s="22"/>
      <c r="O27" s="22"/>
      <c r="P27" s="20" t="s">
        <v>444</v>
      </c>
    </row>
    <row r="28" customFormat="false" ht="15" hidden="false" customHeight="false" outlineLevel="0" collapsed="false">
      <c r="B28" s="39" t="s">
        <v>445</v>
      </c>
      <c r="C28" s="40" t="s">
        <v>105</v>
      </c>
      <c r="D28" s="44" t="n">
        <v>0</v>
      </c>
      <c r="E28" s="44" t="n">
        <v>0</v>
      </c>
      <c r="F28" s="44" t="n">
        <v>0</v>
      </c>
      <c r="G28" s="44" t="n">
        <v>0</v>
      </c>
      <c r="H28" s="45"/>
      <c r="I28" s="44" t="n">
        <v>0</v>
      </c>
      <c r="J28" s="45"/>
      <c r="K28" s="42"/>
      <c r="L28" s="42"/>
      <c r="M28" s="42"/>
      <c r="N28" s="42"/>
      <c r="O28" s="42"/>
    </row>
    <row r="29" customFormat="false" ht="15" hidden="false" customHeight="false" outlineLevel="0" collapsed="false">
      <c r="B29" s="4" t="s">
        <v>446</v>
      </c>
      <c r="C29" s="17" t="s">
        <v>105</v>
      </c>
      <c r="I29" s="38" t="n">
        <f aca="false">I25-I28</f>
        <v>1000</v>
      </c>
      <c r="K29" s="22"/>
      <c r="L29" s="22"/>
      <c r="M29" s="22"/>
      <c r="N29" s="22"/>
      <c r="O29" s="22"/>
    </row>
    <row r="30" customFormat="false" ht="15" hidden="false" customHeight="false" outlineLevel="0" collapsed="false">
      <c r="B30" s="4" t="s">
        <v>447</v>
      </c>
      <c r="C30" s="17" t="s">
        <v>85</v>
      </c>
      <c r="K30" s="23"/>
      <c r="L30" s="23"/>
      <c r="M30" s="23"/>
      <c r="N30" s="23"/>
      <c r="O30" s="23"/>
    </row>
    <row r="31" customFormat="false" ht="15" hidden="false" customHeight="false" outlineLevel="0" collapsed="false">
      <c r="B31" s="4" t="s">
        <v>448</v>
      </c>
      <c r="C31" s="17" t="s">
        <v>105</v>
      </c>
      <c r="K31" s="22"/>
      <c r="L31" s="22"/>
      <c r="M31" s="22"/>
      <c r="N31" s="22"/>
      <c r="O31" s="22"/>
      <c r="P31" s="20" t="s">
        <v>449</v>
      </c>
    </row>
    <row r="32" customFormat="false" ht="15" hidden="false" customHeight="false" outlineLevel="0" collapsed="false">
      <c r="B32" s="4" t="s">
        <v>450</v>
      </c>
      <c r="C32" s="17" t="s">
        <v>105</v>
      </c>
      <c r="K32" s="22"/>
      <c r="L32" s="22"/>
      <c r="M32" s="22"/>
      <c r="N32" s="22"/>
      <c r="O32" s="22"/>
    </row>
    <row r="33" customFormat="false" ht="15" hidden="false" customHeight="false" outlineLevel="0" collapsed="false">
      <c r="B33" s="39" t="s">
        <v>451</v>
      </c>
      <c r="C33" s="40" t="s">
        <v>105</v>
      </c>
      <c r="D33" s="45"/>
      <c r="E33" s="45"/>
      <c r="F33" s="45"/>
      <c r="G33" s="45"/>
      <c r="H33" s="45"/>
      <c r="I33" s="45"/>
      <c r="J33" s="45"/>
      <c r="K33" s="42"/>
      <c r="L33" s="42"/>
      <c r="M33" s="42"/>
      <c r="N33" s="42"/>
      <c r="O33" s="42"/>
      <c r="P33" s="20" t="s">
        <v>452</v>
      </c>
    </row>
    <row r="35" customFormat="false" ht="15" hidden="false" customHeight="false" outlineLevel="0" collapsed="false">
      <c r="B35" s="6" t="s">
        <v>453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customFormat="false" ht="15" hidden="false" customHeight="false" outlineLevel="0" collapsed="false">
      <c r="B36" s="4" t="s">
        <v>454</v>
      </c>
      <c r="C36" s="17" t="s">
        <v>105</v>
      </c>
      <c r="K36" s="22"/>
      <c r="L36" s="22"/>
      <c r="M36" s="22"/>
      <c r="N36" s="22"/>
      <c r="O36" s="22"/>
      <c r="P36" s="20" t="s">
        <v>455</v>
      </c>
    </row>
    <row r="37" customFormat="false" ht="15" hidden="false" customHeight="false" outlineLevel="0" collapsed="false">
      <c r="B37" s="39" t="s">
        <v>456</v>
      </c>
      <c r="C37" s="40" t="s">
        <v>105</v>
      </c>
      <c r="D37" s="45"/>
      <c r="E37" s="45"/>
      <c r="F37" s="45"/>
      <c r="G37" s="45"/>
      <c r="H37" s="45"/>
      <c r="I37" s="45"/>
      <c r="J37" s="45"/>
      <c r="K37" s="42"/>
      <c r="L37" s="42"/>
      <c r="M37" s="42"/>
      <c r="N37" s="42"/>
      <c r="O37" s="42"/>
      <c r="P37" s="20" t="s">
        <v>457</v>
      </c>
    </row>
    <row r="38" customFormat="false" ht="15" hidden="false" customHeight="false" outlineLevel="0" collapsed="false">
      <c r="B38" s="4" t="s">
        <v>458</v>
      </c>
      <c r="C38" s="17" t="s">
        <v>105</v>
      </c>
      <c r="K38" s="22"/>
      <c r="L38" s="22"/>
      <c r="M38" s="22"/>
      <c r="N38" s="22"/>
      <c r="O38" s="22"/>
      <c r="P38" s="20" t="s">
        <v>459</v>
      </c>
    </row>
    <row r="40" customFormat="false" ht="15" hidden="false" customHeight="false" outlineLevel="0" collapsed="false">
      <c r="B40" s="6" t="s">
        <v>460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customFormat="false" ht="15" hidden="false" customHeight="false" outlineLevel="0" collapsed="false">
      <c r="B41" s="4" t="s">
        <v>461</v>
      </c>
      <c r="C41" s="17" t="s">
        <v>190</v>
      </c>
      <c r="D41" s="46" t="n">
        <f aca="false">(BS!D53)/IS!D37</f>
        <v>2.6448793397639</v>
      </c>
      <c r="E41" s="46" t="n">
        <f aca="false">(BS!E53)/IS!E37</f>
        <v>1.73370708718896</v>
      </c>
      <c r="F41" s="46" t="n">
        <f aca="false">(BS!F53)/IS!F37</f>
        <v>1.34985089048069</v>
      </c>
      <c r="G41" s="46" t="n">
        <f aca="false">(BS!G53)/IS!G37</f>
        <v>1.20891511468972</v>
      </c>
      <c r="I41" s="46" t="n">
        <f aca="false">I20/IS!J37</f>
        <v>2.80767202484423</v>
      </c>
      <c r="K41" s="47"/>
      <c r="L41" s="47"/>
      <c r="M41" s="47"/>
      <c r="N41" s="47"/>
      <c r="O41" s="47"/>
      <c r="P41" s="20" t="s">
        <v>462</v>
      </c>
    </row>
    <row r="42" customFormat="false" ht="15" hidden="false" customHeight="false" outlineLevel="0" collapsed="false">
      <c r="B42" s="4" t="s">
        <v>463</v>
      </c>
      <c r="C42" s="17" t="s">
        <v>190</v>
      </c>
      <c r="I42" s="46" t="n">
        <f aca="false">(I20-BS!I52)/IS!J37</f>
        <v>0.8246899353503</v>
      </c>
      <c r="K42" s="47"/>
      <c r="L42" s="47"/>
      <c r="M42" s="47"/>
      <c r="N42" s="47"/>
      <c r="O42" s="47"/>
      <c r="P42" s="20" t="s">
        <v>464</v>
      </c>
    </row>
    <row r="43" customFormat="false" ht="15" hidden="false" customHeight="false" outlineLevel="0" collapsed="false">
      <c r="B43" s="4" t="s">
        <v>465</v>
      </c>
      <c r="C43" s="17" t="s">
        <v>145</v>
      </c>
      <c r="I43" s="36" t="n">
        <f aca="false">MAX(0,Inputs!$D$49-Inputs!$D$68)/Inputs!$D$49*Inputs!$D$70</f>
        <v>0</v>
      </c>
      <c r="P43" s="20" t="s">
        <v>466</v>
      </c>
    </row>
  </sheetData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IC Simulator · Tyler Technologies (TYL) · Advanced · Practice use only · 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P8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3" min="3" style="0" width="9"/>
    <col collapsed="false" customWidth="true" hidden="false" outlineLevel="0" max="15" min="4" style="0" width="11.5"/>
    <col collapsed="false" customWidth="true" hidden="false" outlineLevel="0" max="16" min="16" style="0" width="70"/>
  </cols>
  <sheetData>
    <row r="1" customFormat="false" ht="17.35" hidden="false" customHeight="false" outlineLevel="0" collapsed="false">
      <c r="B1" s="9" t="s">
        <v>467</v>
      </c>
    </row>
    <row r="2" customFormat="false" ht="15" hidden="false" customHeight="false" outlineLevel="0" collapsed="false">
      <c r="B2" s="10" t="s">
        <v>468</v>
      </c>
    </row>
    <row r="4" customFormat="false" ht="15" hidden="false" customHeight="false" outlineLevel="0" collapsed="false">
      <c r="B4" s="11" t="s">
        <v>67</v>
      </c>
      <c r="C4" s="11" t="s">
        <v>12</v>
      </c>
      <c r="G4" s="12" t="s">
        <v>71</v>
      </c>
      <c r="I4" s="12" t="s">
        <v>469</v>
      </c>
      <c r="K4" s="12" t="s">
        <v>75</v>
      </c>
      <c r="L4" s="12" t="s">
        <v>76</v>
      </c>
      <c r="M4" s="12" t="s">
        <v>77</v>
      </c>
      <c r="N4" s="12" t="s">
        <v>78</v>
      </c>
      <c r="O4" s="12" t="s">
        <v>79</v>
      </c>
      <c r="P4" s="11" t="s">
        <v>80</v>
      </c>
    </row>
    <row r="5" customFormat="false" ht="15" hidden="false" customHeight="false" outlineLevel="0" collapsed="false">
      <c r="B5" s="13" t="s">
        <v>81</v>
      </c>
      <c r="C5" s="14"/>
      <c r="G5" s="15" t="n">
        <v>46022</v>
      </c>
      <c r="I5" s="15" t="n">
        <v>46203</v>
      </c>
      <c r="K5" s="15" t="n">
        <v>46387</v>
      </c>
      <c r="L5" s="15" t="n">
        <v>46752</v>
      </c>
      <c r="M5" s="15" t="n">
        <v>47118</v>
      </c>
      <c r="N5" s="15" t="n">
        <v>47483</v>
      </c>
      <c r="O5" s="15" t="n">
        <v>47848</v>
      </c>
      <c r="P5" s="14"/>
    </row>
    <row r="6" customFormat="false" ht="15" hidden="false" customHeight="false" outlineLevel="0" collapsed="false">
      <c r="B6" s="13" t="s">
        <v>82</v>
      </c>
      <c r="C6" s="14"/>
      <c r="G6" s="16" t="n">
        <v>52</v>
      </c>
      <c r="I6" s="16" t="n">
        <v>26</v>
      </c>
      <c r="K6" s="16" t="n">
        <v>52</v>
      </c>
      <c r="L6" s="16" t="n">
        <v>52</v>
      </c>
      <c r="M6" s="16" t="n">
        <v>52</v>
      </c>
      <c r="N6" s="16" t="n">
        <v>52</v>
      </c>
      <c r="O6" s="16" t="n">
        <v>52</v>
      </c>
      <c r="P6" s="14"/>
    </row>
    <row r="8" customFormat="false" ht="15" hidden="false" customHeight="false" outlineLevel="0" collapsed="false">
      <c r="B8" s="6" t="s">
        <v>470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customFormat="false" ht="15" hidden="false" customHeight="false" outlineLevel="0" collapsed="false">
      <c r="B9" s="4" t="s">
        <v>471</v>
      </c>
      <c r="C9" s="17" t="s">
        <v>105</v>
      </c>
      <c r="G9" s="21" t="n">
        <f aca="false">IS!G8</f>
        <v>2332.34</v>
      </c>
      <c r="I9" s="21" t="n">
        <f aca="false">IS!I8</f>
        <v>1258.599</v>
      </c>
      <c r="K9" s="22"/>
      <c r="L9" s="22"/>
      <c r="M9" s="22"/>
      <c r="N9" s="22"/>
      <c r="O9" s="22"/>
    </row>
    <row r="10" customFormat="false" ht="15" hidden="false" customHeight="false" outlineLevel="0" collapsed="false">
      <c r="B10" s="4" t="s">
        <v>472</v>
      </c>
      <c r="C10" s="17" t="s">
        <v>85</v>
      </c>
      <c r="K10" s="19"/>
      <c r="L10" s="19"/>
      <c r="M10" s="19"/>
      <c r="N10" s="19"/>
      <c r="O10" s="19"/>
    </row>
    <row r="11" customFormat="false" ht="15" hidden="false" customHeight="false" outlineLevel="0" collapsed="false">
      <c r="B11" s="4" t="s">
        <v>473</v>
      </c>
      <c r="C11" s="17" t="s">
        <v>105</v>
      </c>
      <c r="G11" s="21" t="n">
        <f aca="false">IS!G37</f>
        <v>496.034</v>
      </c>
      <c r="I11" s="21" t="n">
        <f aca="false">IS!I37</f>
        <v>269.668</v>
      </c>
      <c r="K11" s="22"/>
      <c r="L11" s="22"/>
      <c r="M11" s="22"/>
      <c r="N11" s="22"/>
      <c r="O11" s="22"/>
    </row>
    <row r="12" customFormat="false" ht="15" hidden="false" customHeight="false" outlineLevel="0" collapsed="false">
      <c r="B12" s="4" t="s">
        <v>285</v>
      </c>
      <c r="C12" s="17" t="s">
        <v>85</v>
      </c>
      <c r="G12" s="18" t="n">
        <f aca="false">G11/G9</f>
        <v>0.212676539441076</v>
      </c>
      <c r="I12" s="18" t="n">
        <f aca="false">I11/I9</f>
        <v>0.21426045944737</v>
      </c>
      <c r="K12" s="19"/>
      <c r="L12" s="19"/>
      <c r="M12" s="19"/>
      <c r="N12" s="19"/>
      <c r="O12" s="19"/>
    </row>
    <row r="13" customFormat="false" ht="15" hidden="false" customHeight="false" outlineLevel="0" collapsed="false">
      <c r="B13" s="4" t="s">
        <v>474</v>
      </c>
      <c r="C13" s="17" t="s">
        <v>105</v>
      </c>
      <c r="G13" s="21" t="n">
        <f aca="false">IS!G17</f>
        <v>357.676</v>
      </c>
      <c r="I13" s="21" t="n">
        <f aca="false">IS!I17</f>
        <v>194.907</v>
      </c>
      <c r="K13" s="22"/>
      <c r="L13" s="22"/>
      <c r="M13" s="22"/>
      <c r="N13" s="22"/>
      <c r="O13" s="22"/>
    </row>
    <row r="14" customFormat="false" ht="15" hidden="false" customHeight="false" outlineLevel="0" collapsed="false">
      <c r="B14" s="4" t="s">
        <v>475</v>
      </c>
      <c r="C14" s="17" t="s">
        <v>105</v>
      </c>
      <c r="G14" s="38" t="n">
        <f aca="false">-G13*Inputs!K24</f>
        <v>-0</v>
      </c>
      <c r="I14" s="38" t="n">
        <f aca="false">-I13*Inputs!K24</f>
        <v>-0</v>
      </c>
      <c r="K14" s="22"/>
      <c r="L14" s="22"/>
      <c r="M14" s="22"/>
      <c r="N14" s="22"/>
      <c r="O14" s="22"/>
      <c r="P14" s="20" t="s">
        <v>476</v>
      </c>
    </row>
    <row r="15" customFormat="false" ht="15" hidden="false" customHeight="false" outlineLevel="0" collapsed="false">
      <c r="B15" s="39" t="s">
        <v>477</v>
      </c>
      <c r="C15" s="40" t="s">
        <v>105</v>
      </c>
      <c r="D15" s="45"/>
      <c r="E15" s="45"/>
      <c r="F15" s="45"/>
      <c r="G15" s="41" t="n">
        <f aca="false">G13+G14</f>
        <v>357.676</v>
      </c>
      <c r="H15" s="45"/>
      <c r="I15" s="41" t="n">
        <f aca="false">I13+I14</f>
        <v>194.907</v>
      </c>
      <c r="J15" s="45"/>
      <c r="K15" s="42"/>
      <c r="L15" s="42"/>
      <c r="M15" s="42"/>
      <c r="N15" s="42"/>
      <c r="O15" s="42"/>
    </row>
    <row r="16" customFormat="false" ht="15" hidden="false" customHeight="false" outlineLevel="0" collapsed="false">
      <c r="B16" s="4" t="s">
        <v>478</v>
      </c>
      <c r="C16" s="17" t="s">
        <v>105</v>
      </c>
      <c r="G16" s="21" t="n">
        <f aca="false">IS!G36</f>
        <v>138.358</v>
      </c>
      <c r="I16" s="21" t="n">
        <f aca="false">IS!I36</f>
        <v>74.761</v>
      </c>
      <c r="K16" s="22"/>
      <c r="L16" s="22"/>
      <c r="M16" s="22"/>
      <c r="N16" s="22"/>
      <c r="O16" s="22"/>
    </row>
    <row r="17" customFormat="false" ht="15" hidden="false" customHeight="false" outlineLevel="0" collapsed="false">
      <c r="B17" s="4" t="s">
        <v>479</v>
      </c>
      <c r="C17" s="17" t="s">
        <v>105</v>
      </c>
      <c r="G17" s="21" t="n">
        <f aca="false">CF!G27</f>
        <v>-32.793</v>
      </c>
      <c r="I17" s="21" t="n">
        <f aca="false">CF!I27</f>
        <v>-10.393</v>
      </c>
      <c r="K17" s="22"/>
      <c r="L17" s="22"/>
      <c r="M17" s="22"/>
      <c r="N17" s="22"/>
      <c r="O17" s="22"/>
      <c r="P17" s="20" t="s">
        <v>480</v>
      </c>
    </row>
    <row r="18" customFormat="false" ht="15" hidden="false" customHeight="false" outlineLevel="0" collapsed="false">
      <c r="B18" s="4" t="s">
        <v>481</v>
      </c>
      <c r="C18" s="17" t="s">
        <v>105</v>
      </c>
      <c r="G18" s="21" t="n">
        <f aca="false">CF!G30</f>
        <v>-83.652</v>
      </c>
      <c r="I18" s="21" t="n">
        <f aca="false">CF!I30</f>
        <v>-214.291</v>
      </c>
      <c r="K18" s="22"/>
      <c r="L18" s="22"/>
      <c r="M18" s="22"/>
      <c r="N18" s="22"/>
      <c r="O18" s="22"/>
      <c r="P18" s="20" t="s">
        <v>482</v>
      </c>
    </row>
    <row r="19" customFormat="false" ht="15" hidden="false" customHeight="false" outlineLevel="0" collapsed="false">
      <c r="B19" s="4" t="s">
        <v>483</v>
      </c>
      <c r="C19" s="17" t="s">
        <v>105</v>
      </c>
      <c r="G19" s="21" t="n">
        <f aca="false">CF!G25</f>
        <v>4.45499999999999</v>
      </c>
      <c r="I19" s="21" t="n">
        <f aca="false">CF!I25</f>
        <v>-105.419</v>
      </c>
      <c r="K19" s="22"/>
      <c r="L19" s="22"/>
      <c r="M19" s="22"/>
      <c r="N19" s="22"/>
      <c r="O19" s="22"/>
      <c r="P19" s="20" t="s">
        <v>484</v>
      </c>
    </row>
    <row r="20" customFormat="false" ht="15" hidden="false" customHeight="false" outlineLevel="0" collapsed="false">
      <c r="B20" s="39" t="s">
        <v>485</v>
      </c>
      <c r="C20" s="40" t="s">
        <v>105</v>
      </c>
      <c r="D20" s="45"/>
      <c r="E20" s="45"/>
      <c r="F20" s="45"/>
      <c r="G20" s="41" t="n">
        <f aca="false">G15+G16+G17+G18+G19</f>
        <v>384.044</v>
      </c>
      <c r="H20" s="45"/>
      <c r="I20" s="41" t="n">
        <f aca="false">I15+I16+I17+I18+I19</f>
        <v>-60.435</v>
      </c>
      <c r="J20" s="45"/>
      <c r="K20" s="42"/>
      <c r="L20" s="42"/>
      <c r="M20" s="42"/>
      <c r="N20" s="42"/>
      <c r="O20" s="42"/>
    </row>
    <row r="21" customFormat="false" ht="15" hidden="false" customHeight="false" outlineLevel="0" collapsed="false">
      <c r="B21" s="4" t="s">
        <v>486</v>
      </c>
      <c r="C21" s="17" t="s">
        <v>85</v>
      </c>
      <c r="G21" s="18" t="n">
        <f aca="false">G20/G9</f>
        <v>0.164660383992042</v>
      </c>
      <c r="I21" s="18" t="n">
        <f aca="false">I20/I9</f>
        <v>-0.0480176767977728</v>
      </c>
      <c r="K21" s="19"/>
      <c r="L21" s="19"/>
      <c r="M21" s="19"/>
      <c r="N21" s="19"/>
      <c r="O21" s="19"/>
    </row>
    <row r="23" customFormat="false" ht="15" hidden="false" customHeight="false" outlineLevel="0" collapsed="false">
      <c r="B23" s="6" t="s">
        <v>487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customFormat="false" ht="15" hidden="false" customHeight="false" outlineLevel="0" collapsed="false">
      <c r="B24" s="4" t="s">
        <v>488</v>
      </c>
      <c r="C24" s="17" t="s">
        <v>105</v>
      </c>
      <c r="K24" s="22"/>
      <c r="L24" s="22"/>
      <c r="M24" s="22"/>
      <c r="N24" s="22"/>
      <c r="O24" s="22"/>
      <c r="P24" s="20" t="s">
        <v>489</v>
      </c>
    </row>
    <row r="25" customFormat="false" ht="15" hidden="false" customHeight="false" outlineLevel="0" collapsed="false">
      <c r="B25" s="4" t="s">
        <v>490</v>
      </c>
      <c r="C25" s="17" t="s">
        <v>105</v>
      </c>
      <c r="K25" s="22"/>
      <c r="L25" s="22"/>
      <c r="M25" s="22"/>
      <c r="N25" s="22"/>
      <c r="O25" s="22"/>
      <c r="P25" s="20" t="s">
        <v>491</v>
      </c>
    </row>
    <row r="26" customFormat="false" ht="15" hidden="false" customHeight="false" outlineLevel="0" collapsed="false">
      <c r="B26" s="4" t="s">
        <v>492</v>
      </c>
      <c r="C26" s="17" t="s">
        <v>493</v>
      </c>
      <c r="K26" s="48" t="n">
        <f aca="false">$D$68</f>
        <v>46203</v>
      </c>
      <c r="L26" s="48" t="n">
        <f aca="false">K27</f>
        <v>46387</v>
      </c>
      <c r="M26" s="48" t="n">
        <f aca="false">L27</f>
        <v>46752</v>
      </c>
      <c r="N26" s="48" t="n">
        <f aca="false">M27</f>
        <v>47118</v>
      </c>
      <c r="O26" s="48" t="n">
        <f aca="false">N27</f>
        <v>47483</v>
      </c>
    </row>
    <row r="27" customFormat="false" ht="15" hidden="false" customHeight="false" outlineLevel="0" collapsed="false">
      <c r="B27" s="4" t="s">
        <v>494</v>
      </c>
      <c r="C27" s="17" t="s">
        <v>493</v>
      </c>
      <c r="K27" s="49" t="n">
        <f aca="false">IS!K5</f>
        <v>46387</v>
      </c>
      <c r="L27" s="49" t="n">
        <f aca="false">IS!L5</f>
        <v>46752</v>
      </c>
      <c r="M27" s="49" t="n">
        <f aca="false">IS!M5</f>
        <v>47118</v>
      </c>
      <c r="N27" s="49" t="n">
        <f aca="false">IS!N5</f>
        <v>47483</v>
      </c>
      <c r="O27" s="49" t="n">
        <f aca="false">IS!O5</f>
        <v>47848</v>
      </c>
    </row>
    <row r="28" customFormat="false" ht="15" hidden="false" customHeight="false" outlineLevel="0" collapsed="false">
      <c r="B28" s="4" t="s">
        <v>495</v>
      </c>
      <c r="C28" s="17" t="s">
        <v>207</v>
      </c>
      <c r="K28" s="50"/>
      <c r="L28" s="50"/>
      <c r="M28" s="50"/>
      <c r="N28" s="50"/>
      <c r="O28" s="50"/>
    </row>
    <row r="29" customFormat="false" ht="15" hidden="false" customHeight="false" outlineLevel="0" collapsed="false">
      <c r="B29" s="4" t="s">
        <v>496</v>
      </c>
      <c r="C29" s="17" t="s">
        <v>190</v>
      </c>
      <c r="K29" s="51"/>
      <c r="L29" s="51"/>
      <c r="M29" s="51"/>
      <c r="N29" s="51"/>
      <c r="O29" s="51"/>
    </row>
    <row r="30" customFormat="false" ht="15" hidden="false" customHeight="false" outlineLevel="0" collapsed="false">
      <c r="B30" s="4" t="s">
        <v>497</v>
      </c>
      <c r="C30" s="17" t="s">
        <v>105</v>
      </c>
      <c r="K30" s="22"/>
      <c r="L30" s="22"/>
      <c r="M30" s="22"/>
      <c r="N30" s="22"/>
      <c r="O30" s="22"/>
    </row>
    <row r="31" customFormat="false" ht="15" hidden="false" customHeight="false" outlineLevel="0" collapsed="false">
      <c r="B31" s="4" t="s">
        <v>498</v>
      </c>
      <c r="C31" s="17" t="s">
        <v>190</v>
      </c>
      <c r="K31" s="51"/>
      <c r="L31" s="51"/>
      <c r="M31" s="51"/>
      <c r="N31" s="51"/>
      <c r="O31" s="51"/>
      <c r="P31" s="20" t="s">
        <v>499</v>
      </c>
    </row>
    <row r="32" customFormat="false" ht="15" hidden="false" customHeight="false" outlineLevel="0" collapsed="false">
      <c r="B32" s="4" t="s">
        <v>500</v>
      </c>
      <c r="C32" s="17" t="s">
        <v>501</v>
      </c>
      <c r="K32" s="52" t="n">
        <v>1</v>
      </c>
      <c r="L32" s="52" t="n">
        <v>2</v>
      </c>
      <c r="M32" s="52" t="n">
        <v>3</v>
      </c>
      <c r="N32" s="52" t="n">
        <v>4</v>
      </c>
      <c r="O32" s="52" t="n">
        <v>5</v>
      </c>
    </row>
    <row r="33" customFormat="false" ht="15" hidden="false" customHeight="false" outlineLevel="0" collapsed="false">
      <c r="B33" s="4" t="s">
        <v>502</v>
      </c>
      <c r="C33" s="17" t="s">
        <v>85</v>
      </c>
      <c r="K33" s="19"/>
      <c r="L33" s="19"/>
      <c r="M33" s="19"/>
      <c r="N33" s="19"/>
      <c r="O33" s="19"/>
    </row>
    <row r="35" customFormat="false" ht="15" hidden="false" customHeight="false" outlineLevel="0" collapsed="false">
      <c r="B35" s="6" t="s">
        <v>503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customFormat="false" ht="15" hidden="false" customHeight="false" outlineLevel="0" collapsed="false">
      <c r="B36" s="4" t="s">
        <v>179</v>
      </c>
      <c r="C36" s="17" t="s">
        <v>85</v>
      </c>
      <c r="D36" s="53" t="n">
        <f aca="false">Inputs!$D$58</f>
        <v>0.0524</v>
      </c>
      <c r="E36" s="17" t="s">
        <v>504</v>
      </c>
    </row>
    <row r="37" customFormat="false" ht="15" hidden="false" customHeight="false" outlineLevel="0" collapsed="false">
      <c r="B37" s="4" t="s">
        <v>181</v>
      </c>
      <c r="C37" s="17" t="s">
        <v>85</v>
      </c>
      <c r="D37" s="53" t="n">
        <f aca="false">Inputs!$D$59</f>
        <v>0.042</v>
      </c>
      <c r="E37" s="17" t="s">
        <v>505</v>
      </c>
    </row>
    <row r="38" customFormat="false" ht="15" hidden="false" customHeight="false" outlineLevel="0" collapsed="false">
      <c r="B38" s="4" t="s">
        <v>506</v>
      </c>
      <c r="C38" s="17" t="s">
        <v>190</v>
      </c>
      <c r="D38" s="47"/>
      <c r="E38" s="17" t="s">
        <v>507</v>
      </c>
    </row>
    <row r="39" customFormat="false" ht="15" hidden="false" customHeight="false" outlineLevel="0" collapsed="false">
      <c r="B39" s="4" t="s">
        <v>508</v>
      </c>
      <c r="C39" s="17" t="s">
        <v>190</v>
      </c>
      <c r="D39" s="19"/>
      <c r="E39" s="17" t="s">
        <v>509</v>
      </c>
    </row>
    <row r="40" customFormat="false" ht="15" hidden="false" customHeight="false" outlineLevel="0" collapsed="false">
      <c r="B40" s="4" t="s">
        <v>510</v>
      </c>
      <c r="C40" s="17" t="s">
        <v>190</v>
      </c>
      <c r="D40" s="47"/>
      <c r="E40" s="17" t="s">
        <v>511</v>
      </c>
    </row>
    <row r="41" customFormat="false" ht="15" hidden="false" customHeight="false" outlineLevel="0" collapsed="false">
      <c r="B41" s="4" t="s">
        <v>512</v>
      </c>
      <c r="C41" s="17" t="s">
        <v>85</v>
      </c>
      <c r="D41" s="23"/>
      <c r="E41" s="17" t="s">
        <v>513</v>
      </c>
    </row>
    <row r="42" customFormat="false" ht="15" hidden="false" customHeight="false" outlineLevel="0" collapsed="false">
      <c r="B42" s="4" t="s">
        <v>514</v>
      </c>
      <c r="C42" s="17" t="s">
        <v>85</v>
      </c>
      <c r="D42" s="53" t="n">
        <f aca="false">Inputs!$D$60</f>
        <v>0.055</v>
      </c>
      <c r="E42" s="17" t="s">
        <v>515</v>
      </c>
    </row>
    <row r="43" customFormat="false" ht="15" hidden="false" customHeight="false" outlineLevel="0" collapsed="false">
      <c r="B43" s="4" t="s">
        <v>516</v>
      </c>
      <c r="C43" s="17" t="s">
        <v>85</v>
      </c>
      <c r="D43" s="23"/>
    </row>
    <row r="44" customFormat="false" ht="15" hidden="false" customHeight="false" outlineLevel="0" collapsed="false">
      <c r="B44" s="4" t="s">
        <v>517</v>
      </c>
      <c r="C44" s="17" t="s">
        <v>105</v>
      </c>
      <c r="D44" s="22"/>
      <c r="E44" s="17" t="s">
        <v>518</v>
      </c>
    </row>
    <row r="45" customFormat="false" ht="15" hidden="false" customHeight="false" outlineLevel="0" collapsed="false">
      <c r="B45" s="4" t="s">
        <v>519</v>
      </c>
      <c r="C45" s="17" t="s">
        <v>105</v>
      </c>
      <c r="D45" s="21" t="n">
        <f aca="false">Inputs!$D$55</f>
        <v>1437.5</v>
      </c>
      <c r="E45" s="17" t="s">
        <v>520</v>
      </c>
    </row>
    <row r="46" customFormat="false" ht="15" hidden="false" customHeight="false" outlineLevel="0" collapsed="false">
      <c r="B46" s="4" t="s">
        <v>521</v>
      </c>
      <c r="C46" s="17" t="s">
        <v>85</v>
      </c>
      <c r="D46" s="19"/>
    </row>
    <row r="47" customFormat="false" ht="15" hidden="false" customHeight="false" outlineLevel="0" collapsed="false">
      <c r="B47" s="3" t="s">
        <v>522</v>
      </c>
      <c r="C47" s="17" t="s">
        <v>85</v>
      </c>
      <c r="D47" s="23"/>
      <c r="E47" s="17" t="s">
        <v>523</v>
      </c>
    </row>
    <row r="49" customFormat="false" ht="15" hidden="false" customHeight="false" outlineLevel="0" collapsed="false">
      <c r="B49" s="6" t="s">
        <v>524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customFormat="false" ht="15" hidden="false" customHeight="false" outlineLevel="0" collapsed="false">
      <c r="B50" s="4" t="s">
        <v>525</v>
      </c>
      <c r="C50" s="17" t="s">
        <v>85</v>
      </c>
      <c r="D50" s="53" t="n">
        <f aca="false">Inputs!$D$62</f>
        <v>0</v>
      </c>
      <c r="E50" s="17" t="s">
        <v>515</v>
      </c>
    </row>
    <row r="51" customFormat="false" ht="15" hidden="false" customHeight="false" outlineLevel="0" collapsed="false">
      <c r="B51" s="4" t="s">
        <v>526</v>
      </c>
      <c r="C51" s="17" t="s">
        <v>190</v>
      </c>
      <c r="D51" s="54" t="n">
        <f aca="false">Inputs!$D$63</f>
        <v>0</v>
      </c>
      <c r="E51" s="17" t="s">
        <v>515</v>
      </c>
    </row>
    <row r="52" customFormat="false" ht="15" hidden="false" customHeight="false" outlineLevel="0" collapsed="false">
      <c r="B52" s="4" t="s">
        <v>527</v>
      </c>
      <c r="C52" s="17" t="s">
        <v>105</v>
      </c>
      <c r="D52" s="22"/>
    </row>
    <row r="53" customFormat="false" ht="15" hidden="false" customHeight="false" outlineLevel="0" collapsed="false">
      <c r="B53" s="4" t="s">
        <v>528</v>
      </c>
      <c r="C53" s="17" t="s">
        <v>105</v>
      </c>
      <c r="D53" s="22"/>
    </row>
    <row r="54" customFormat="false" ht="15" hidden="false" customHeight="false" outlineLevel="0" collapsed="false">
      <c r="B54" s="4" t="s">
        <v>529</v>
      </c>
      <c r="C54" s="17" t="s">
        <v>207</v>
      </c>
      <c r="D54" s="50"/>
    </row>
    <row r="55" customFormat="false" ht="15" hidden="false" customHeight="false" outlineLevel="0" collapsed="false">
      <c r="B55" s="4" t="s">
        <v>530</v>
      </c>
      <c r="C55" s="17" t="s">
        <v>105</v>
      </c>
      <c r="D55" s="22"/>
    </row>
    <row r="56" customFormat="false" ht="15" hidden="false" customHeight="false" outlineLevel="0" collapsed="false">
      <c r="B56" s="4" t="s">
        <v>531</v>
      </c>
      <c r="C56" s="17" t="s">
        <v>105</v>
      </c>
      <c r="D56" s="22"/>
    </row>
    <row r="57" customFormat="false" ht="15" hidden="false" customHeight="false" outlineLevel="0" collapsed="false">
      <c r="B57" s="4" t="s">
        <v>532</v>
      </c>
      <c r="C57" s="17" t="s">
        <v>105</v>
      </c>
      <c r="D57" s="22"/>
    </row>
    <row r="58" customFormat="false" ht="15" hidden="false" customHeight="false" outlineLevel="0" collapsed="false">
      <c r="B58" s="4" t="s">
        <v>533</v>
      </c>
      <c r="C58" s="17" t="s">
        <v>105</v>
      </c>
      <c r="D58" s="22"/>
    </row>
    <row r="59" customFormat="false" ht="15" hidden="false" customHeight="false" outlineLevel="0" collapsed="false">
      <c r="B59" s="4" t="s">
        <v>534</v>
      </c>
      <c r="C59" s="17" t="s">
        <v>105</v>
      </c>
      <c r="D59" s="22"/>
    </row>
    <row r="60" customFormat="false" ht="15" hidden="false" customHeight="false" outlineLevel="0" collapsed="false">
      <c r="B60" s="3" t="s">
        <v>535</v>
      </c>
      <c r="C60" s="17" t="s">
        <v>105</v>
      </c>
      <c r="D60" s="22"/>
    </row>
    <row r="61" customFormat="false" ht="15" hidden="false" customHeight="false" outlineLevel="0" collapsed="false">
      <c r="B61" s="3" t="s">
        <v>536</v>
      </c>
      <c r="C61" s="17" t="s">
        <v>105</v>
      </c>
      <c r="D61" s="22"/>
    </row>
    <row r="62" customFormat="false" ht="15" hidden="false" customHeight="false" outlineLevel="0" collapsed="false">
      <c r="B62" s="4" t="s">
        <v>537</v>
      </c>
      <c r="C62" s="17" t="s">
        <v>85</v>
      </c>
      <c r="D62" s="19"/>
    </row>
    <row r="63" customFormat="false" ht="15" hidden="false" customHeight="false" outlineLevel="0" collapsed="false">
      <c r="B63" s="4" t="s">
        <v>538</v>
      </c>
      <c r="C63" s="17" t="s">
        <v>85</v>
      </c>
      <c r="D63" s="19"/>
    </row>
    <row r="64" customFormat="false" ht="15" hidden="false" customHeight="false" outlineLevel="0" collapsed="false">
      <c r="B64" s="4" t="s">
        <v>539</v>
      </c>
      <c r="C64" s="17" t="s">
        <v>190</v>
      </c>
      <c r="D64" s="35"/>
      <c r="E64" s="17" t="s">
        <v>540</v>
      </c>
    </row>
    <row r="65" customFormat="false" ht="15" hidden="false" customHeight="false" outlineLevel="0" collapsed="false">
      <c r="B65" s="4" t="s">
        <v>541</v>
      </c>
      <c r="C65" s="17" t="s">
        <v>85</v>
      </c>
      <c r="D65" s="23"/>
      <c r="E65" s="17" t="s">
        <v>542</v>
      </c>
    </row>
    <row r="67" customFormat="false" ht="15" hidden="false" customHeight="false" outlineLevel="0" collapsed="false">
      <c r="B67" s="6" t="s">
        <v>543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customFormat="false" ht="15" hidden="false" customHeight="false" outlineLevel="0" collapsed="false">
      <c r="B68" s="4" t="s">
        <v>544</v>
      </c>
      <c r="C68" s="17" t="s">
        <v>493</v>
      </c>
      <c r="D68" s="55" t="n">
        <v>46203</v>
      </c>
      <c r="E68" s="17" t="s">
        <v>545</v>
      </c>
    </row>
    <row r="69" customFormat="false" ht="15" hidden="false" customHeight="false" outlineLevel="0" collapsed="false">
      <c r="B69" s="4" t="s">
        <v>546</v>
      </c>
      <c r="C69" s="17" t="s">
        <v>105</v>
      </c>
      <c r="D69" s="21" t="n">
        <f aca="false">Inputs!$D$54</f>
        <v>970.035</v>
      </c>
    </row>
    <row r="70" customFormat="false" ht="15" hidden="false" customHeight="false" outlineLevel="0" collapsed="false">
      <c r="B70" s="4" t="s">
        <v>547</v>
      </c>
      <c r="C70" s="17" t="s">
        <v>105</v>
      </c>
      <c r="D70" s="21" t="n">
        <f aca="false">Inputs!$D$55</f>
        <v>1437.5</v>
      </c>
    </row>
    <row r="71" customFormat="false" ht="15" hidden="false" customHeight="false" outlineLevel="0" collapsed="false">
      <c r="B71" s="4" t="s">
        <v>548</v>
      </c>
      <c r="C71" s="17" t="s">
        <v>105</v>
      </c>
      <c r="D71" s="21" t="n">
        <f aca="false">Inputs!$D$56</f>
        <v>45.232</v>
      </c>
      <c r="E71" s="17" t="s">
        <v>549</v>
      </c>
    </row>
    <row r="72" customFormat="false" ht="15" hidden="false" customHeight="false" outlineLevel="0" collapsed="false">
      <c r="B72" s="4" t="s">
        <v>550</v>
      </c>
      <c r="C72" s="17" t="s">
        <v>190</v>
      </c>
      <c r="D72" s="18" t="n">
        <f aca="false">1</f>
        <v>1</v>
      </c>
      <c r="E72" s="17" t="s">
        <v>551</v>
      </c>
    </row>
    <row r="73" customFormat="false" ht="15" hidden="false" customHeight="false" outlineLevel="0" collapsed="false">
      <c r="B73" s="4" t="s">
        <v>552</v>
      </c>
      <c r="C73" s="17" t="s">
        <v>145</v>
      </c>
      <c r="D73" s="38" t="n">
        <f aca="false">Inputs!$D$52+Inputs!$D$53</f>
        <v>41.241274</v>
      </c>
      <c r="E73" s="17" t="s">
        <v>553</v>
      </c>
    </row>
    <row r="74" customFormat="false" ht="15" hidden="false" customHeight="false" outlineLevel="0" collapsed="false">
      <c r="B74" s="4" t="s">
        <v>554</v>
      </c>
      <c r="C74" s="17" t="s">
        <v>105</v>
      </c>
      <c r="D74" s="22"/>
    </row>
    <row r="75" customFormat="false" ht="15" hidden="false" customHeight="false" outlineLevel="0" collapsed="false">
      <c r="B75" s="4" t="s">
        <v>555</v>
      </c>
      <c r="C75" s="17" t="s">
        <v>105</v>
      </c>
      <c r="D75" s="22"/>
    </row>
    <row r="76" customFormat="false" ht="15" hidden="false" customHeight="false" outlineLevel="0" collapsed="false">
      <c r="B76" s="4" t="s">
        <v>556</v>
      </c>
      <c r="C76" s="17" t="s">
        <v>142</v>
      </c>
      <c r="D76" s="27"/>
    </row>
    <row r="77" customFormat="false" ht="15" hidden="false" customHeight="false" outlineLevel="0" collapsed="false">
      <c r="B77" s="4" t="s">
        <v>557</v>
      </c>
      <c r="C77" s="17" t="s">
        <v>142</v>
      </c>
      <c r="D77" s="27"/>
    </row>
    <row r="78" customFormat="false" ht="15" hidden="false" customHeight="false" outlineLevel="0" collapsed="false">
      <c r="B78" s="4" t="s">
        <v>558</v>
      </c>
      <c r="C78" s="17" t="s">
        <v>493</v>
      </c>
      <c r="D78" s="55" t="n">
        <v>46304</v>
      </c>
      <c r="E78" s="17" t="s">
        <v>559</v>
      </c>
    </row>
    <row r="79" customFormat="false" ht="15" hidden="false" customHeight="false" outlineLevel="0" collapsed="false">
      <c r="B79" s="4" t="s">
        <v>560</v>
      </c>
      <c r="C79" s="17" t="s">
        <v>190</v>
      </c>
      <c r="D79" s="51"/>
      <c r="E79" s="17" t="s">
        <v>561</v>
      </c>
    </row>
    <row r="80" customFormat="false" ht="15" hidden="false" customHeight="false" outlineLevel="0" collapsed="false">
      <c r="B80" s="4" t="s">
        <v>562</v>
      </c>
      <c r="C80" s="17" t="s">
        <v>142</v>
      </c>
      <c r="D80" s="56" t="n">
        <f aca="false">Inputs!$D$57</f>
        <v>0</v>
      </c>
      <c r="E80" s="17" t="s">
        <v>515</v>
      </c>
    </row>
    <row r="81" customFormat="false" ht="15" hidden="false" customHeight="false" outlineLevel="0" collapsed="false">
      <c r="B81" s="3" t="s">
        <v>563</v>
      </c>
      <c r="C81" s="17" t="s">
        <v>142</v>
      </c>
      <c r="D81" s="27"/>
    </row>
    <row r="82" customFormat="false" ht="15" hidden="false" customHeight="false" outlineLevel="0" collapsed="false">
      <c r="B82" s="3" t="s">
        <v>564</v>
      </c>
      <c r="C82" s="17" t="s">
        <v>142</v>
      </c>
      <c r="D82" s="27"/>
    </row>
    <row r="83" customFormat="false" ht="15" hidden="false" customHeight="false" outlineLevel="0" collapsed="false">
      <c r="B83" s="3" t="s">
        <v>565</v>
      </c>
      <c r="C83" s="17" t="s">
        <v>142</v>
      </c>
      <c r="D83" s="27"/>
      <c r="E83" s="17" t="s">
        <v>566</v>
      </c>
    </row>
    <row r="84" customFormat="false" ht="15" hidden="false" customHeight="false" outlineLevel="0" collapsed="false">
      <c r="B84" s="4" t="s">
        <v>567</v>
      </c>
      <c r="C84" s="17" t="s">
        <v>142</v>
      </c>
      <c r="D84" s="56" t="n">
        <f aca="false">Inputs!$D$49</f>
        <v>329.55</v>
      </c>
    </row>
    <row r="85" customFormat="false" ht="15" hidden="false" customHeight="false" outlineLevel="0" collapsed="false">
      <c r="B85" s="4" t="s">
        <v>568</v>
      </c>
      <c r="C85" s="17" t="s">
        <v>85</v>
      </c>
      <c r="D85" s="19"/>
    </row>
  </sheetData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IC Simulator · Tyler Technologies (TYL) · Advanced · Practice use only · 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X5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8"/>
    <col collapsed="false" customWidth="true" hidden="false" outlineLevel="0" max="3" min="3" style="0" width="26"/>
    <col collapsed="false" customWidth="true" hidden="false" outlineLevel="0" max="4" min="4" style="0" width="11"/>
    <col collapsed="false" customWidth="true" hidden="false" outlineLevel="0" max="5" min="5" style="0" width="9"/>
    <col collapsed="false" customWidth="true" hidden="false" outlineLevel="0" max="8" min="6" style="0" width="10"/>
    <col collapsed="false" customWidth="true" hidden="false" outlineLevel="0" max="10" min="9" style="0" width="9"/>
    <col collapsed="false" customWidth="true" hidden="false" outlineLevel="0" max="11" min="11" style="0" width="11"/>
    <col collapsed="false" customWidth="true" hidden="false" outlineLevel="0" max="14" min="12" style="0" width="10"/>
    <col collapsed="false" customWidth="true" hidden="false" outlineLevel="0" max="19" min="15" style="0" width="9"/>
    <col collapsed="false" customWidth="true" hidden="false" outlineLevel="0" max="23" min="20" style="0" width="8"/>
    <col collapsed="false" customWidth="true" hidden="false" outlineLevel="0" max="24" min="24" style="0" width="60"/>
  </cols>
  <sheetData>
    <row r="1" customFormat="false" ht="17.35" hidden="false" customHeight="false" outlineLevel="0" collapsed="false">
      <c r="B1" s="9" t="s">
        <v>569</v>
      </c>
    </row>
    <row r="2" customFormat="false" ht="15" hidden="false" customHeight="false" outlineLevel="0" collapsed="false">
      <c r="B2" s="10" t="s">
        <v>570</v>
      </c>
    </row>
    <row r="4" customFormat="false" ht="42" hidden="false" customHeight="true" outlineLevel="0" collapsed="false">
      <c r="B4" s="57" t="s">
        <v>571</v>
      </c>
      <c r="C4" s="57" t="s">
        <v>572</v>
      </c>
      <c r="D4" s="57" t="s">
        <v>573</v>
      </c>
      <c r="E4" s="57" t="s">
        <v>574</v>
      </c>
      <c r="F4" s="57" t="s">
        <v>575</v>
      </c>
      <c r="G4" s="57" t="s">
        <v>576</v>
      </c>
      <c r="H4" s="57" t="s">
        <v>577</v>
      </c>
      <c r="I4" s="57" t="s">
        <v>405</v>
      </c>
      <c r="J4" s="57" t="s">
        <v>578</v>
      </c>
      <c r="K4" s="57" t="s">
        <v>579</v>
      </c>
      <c r="L4" s="57" t="s">
        <v>580</v>
      </c>
      <c r="M4" s="57" t="s">
        <v>581</v>
      </c>
      <c r="N4" s="57" t="s">
        <v>582</v>
      </c>
      <c r="O4" s="57" t="s">
        <v>583</v>
      </c>
      <c r="P4" s="57" t="s">
        <v>584</v>
      </c>
      <c r="Q4" s="57" t="s">
        <v>585</v>
      </c>
      <c r="R4" s="57" t="s">
        <v>586</v>
      </c>
      <c r="S4" s="57" t="s">
        <v>587</v>
      </c>
      <c r="T4" s="57" t="s">
        <v>588</v>
      </c>
      <c r="U4" s="57" t="s">
        <v>589</v>
      </c>
      <c r="V4" s="57" t="s">
        <v>590</v>
      </c>
      <c r="W4" s="57" t="s">
        <v>591</v>
      </c>
      <c r="X4" s="57" t="s">
        <v>592</v>
      </c>
    </row>
    <row r="5" customFormat="false" ht="15" hidden="false" customHeight="false" outlineLevel="0" collapsed="false">
      <c r="B5" s="4" t="s">
        <v>593</v>
      </c>
      <c r="C5" s="4" t="s">
        <v>594</v>
      </c>
      <c r="D5" s="55" t="n">
        <v>46234</v>
      </c>
      <c r="E5" s="30" t="n">
        <v>167.32</v>
      </c>
      <c r="F5" s="32" t="n">
        <v>81.992669</v>
      </c>
      <c r="G5" s="22"/>
      <c r="H5" s="32" t="n">
        <v>678.094</v>
      </c>
      <c r="I5" s="32" t="n">
        <v>1215.285</v>
      </c>
      <c r="J5" s="32" t="n">
        <v>0</v>
      </c>
      <c r="K5" s="22"/>
      <c r="L5" s="38" t="n">
        <f aca="false">G24</f>
        <v>1475.363</v>
      </c>
      <c r="M5" s="38" t="n">
        <f aca="false">G25+G26</f>
        <v>177.826</v>
      </c>
      <c r="N5" s="38" t="n">
        <f aca="false">G27</f>
        <v>139.283</v>
      </c>
      <c r="O5" s="26" t="n">
        <f aca="false">G28</f>
        <v>1.63</v>
      </c>
      <c r="P5" s="35"/>
      <c r="Q5" s="35"/>
      <c r="R5" s="35"/>
      <c r="S5" s="19"/>
      <c r="T5" s="58" t="n">
        <v>0.908</v>
      </c>
      <c r="U5" s="58" t="n">
        <v>0.938</v>
      </c>
      <c r="V5" s="19"/>
      <c r="W5" s="47"/>
      <c r="X5" s="17" t="s">
        <v>595</v>
      </c>
    </row>
    <row r="6" customFormat="false" ht="15" hidden="false" customHeight="false" outlineLevel="0" collapsed="false">
      <c r="B6" s="4" t="s">
        <v>596</v>
      </c>
      <c r="C6" s="4" t="s">
        <v>597</v>
      </c>
      <c r="D6" s="55" t="n">
        <v>46203</v>
      </c>
      <c r="E6" s="30" t="n">
        <v>34.97</v>
      </c>
      <c r="F6" s="32" t="n">
        <v>302.092889</v>
      </c>
      <c r="G6" s="22"/>
      <c r="H6" s="32" t="n">
        <v>1217.18</v>
      </c>
      <c r="I6" s="32" t="n">
        <v>146.981</v>
      </c>
      <c r="J6" s="32" t="n">
        <v>0</v>
      </c>
      <c r="K6" s="22"/>
      <c r="L6" s="38" t="n">
        <f aca="false">G31</f>
        <v>1602.039</v>
      </c>
      <c r="M6" s="38" t="n">
        <f aca="false">G32+G33</f>
        <v>444.557</v>
      </c>
      <c r="N6" s="38" t="n">
        <f aca="false">G34</f>
        <v>289.97</v>
      </c>
      <c r="O6" s="26" t="n">
        <f aca="false">G35</f>
        <v>0.9</v>
      </c>
      <c r="P6" s="35"/>
      <c r="Q6" s="35"/>
      <c r="R6" s="35"/>
      <c r="S6" s="19"/>
      <c r="T6" s="58" t="n">
        <v>0.628</v>
      </c>
      <c r="U6" s="58" t="n">
        <v>0.751</v>
      </c>
      <c r="V6" s="19"/>
      <c r="W6" s="47"/>
      <c r="X6" s="17" t="s">
        <v>598</v>
      </c>
    </row>
    <row r="7" customFormat="false" ht="15" hidden="false" customHeight="false" outlineLevel="0" collapsed="false">
      <c r="B7" s="4" t="s">
        <v>599</v>
      </c>
      <c r="C7" s="4" t="s">
        <v>600</v>
      </c>
      <c r="D7" s="55" t="n">
        <v>46234</v>
      </c>
      <c r="E7" s="30" t="n">
        <v>296.13</v>
      </c>
      <c r="F7" s="32" t="n">
        <v>161.90885</v>
      </c>
      <c r="G7" s="22"/>
      <c r="H7" s="32" t="n">
        <v>0</v>
      </c>
      <c r="I7" s="32" t="n">
        <v>7242.947</v>
      </c>
      <c r="J7" s="32" t="n">
        <v>0</v>
      </c>
      <c r="K7" s="22"/>
      <c r="L7" s="38" t="n">
        <f aca="false">G38</f>
        <v>3458.098</v>
      </c>
      <c r="M7" s="38" t="n">
        <f aca="false">G39+G40</f>
        <v>1075.341</v>
      </c>
      <c r="N7" s="38" t="n">
        <f aca="false">G41</f>
        <v>1014.772</v>
      </c>
      <c r="O7" s="26" t="n">
        <f aca="false">G42</f>
        <v>6.1</v>
      </c>
      <c r="P7" s="35"/>
      <c r="Q7" s="35"/>
      <c r="R7" s="35"/>
      <c r="S7" s="19"/>
      <c r="T7" s="58" t="n">
        <v>1.023</v>
      </c>
      <c r="U7" s="58" t="n">
        <v>1.016</v>
      </c>
      <c r="V7" s="19"/>
      <c r="W7" s="47"/>
      <c r="X7" s="17" t="s">
        <v>601</v>
      </c>
    </row>
    <row r="8" customFormat="false" ht="15" hidden="false" customHeight="false" outlineLevel="0" collapsed="false">
      <c r="B8" s="4" t="s">
        <v>602</v>
      </c>
      <c r="C8" s="4" t="s">
        <v>603</v>
      </c>
      <c r="D8" s="55" t="n">
        <v>46203</v>
      </c>
      <c r="E8" s="30" t="n">
        <v>364.09</v>
      </c>
      <c r="F8" s="32" t="n">
        <v>98.900874</v>
      </c>
      <c r="G8" s="22"/>
      <c r="H8" s="32" t="n">
        <v>11319.4</v>
      </c>
      <c r="I8" s="32" t="n">
        <v>364.9</v>
      </c>
      <c r="J8" s="32" t="n">
        <v>-1792.2</v>
      </c>
      <c r="K8" s="22"/>
      <c r="L8" s="38" t="n">
        <f aca="false">G45</f>
        <v>8280.3</v>
      </c>
      <c r="M8" s="38" t="n">
        <f aca="false">G46+G47</f>
        <v>3238</v>
      </c>
      <c r="N8" s="38" t="n">
        <f aca="false">G48</f>
        <v>2504.3</v>
      </c>
      <c r="O8" s="26" t="n">
        <f aca="false">G49</f>
        <v>24</v>
      </c>
      <c r="P8" s="35"/>
      <c r="Q8" s="35"/>
      <c r="S8" s="19"/>
      <c r="T8" s="58" t="n">
        <v>0.501</v>
      </c>
      <c r="U8" s="58" t="n">
        <v>0.666</v>
      </c>
      <c r="V8" s="19"/>
      <c r="W8" s="47"/>
      <c r="X8" s="17" t="s">
        <v>604</v>
      </c>
    </row>
    <row r="9" customFormat="false" ht="15" hidden="false" customHeight="false" outlineLevel="0" collapsed="false">
      <c r="B9" s="4" t="s">
        <v>605</v>
      </c>
      <c r="C9" s="4" t="s">
        <v>606</v>
      </c>
      <c r="D9" s="55" t="n">
        <v>46203</v>
      </c>
      <c r="E9" s="30" t="n">
        <v>204.89</v>
      </c>
      <c r="F9" s="32" t="n">
        <v>58.304972</v>
      </c>
      <c r="G9" s="22"/>
      <c r="H9" s="32" t="n">
        <v>0</v>
      </c>
      <c r="I9" s="32" t="n">
        <v>186.11</v>
      </c>
      <c r="J9" s="32" t="n">
        <v>0</v>
      </c>
      <c r="K9" s="22"/>
      <c r="L9" s="38" t="n">
        <f aca="false">G52</f>
        <v>1126.193</v>
      </c>
      <c r="M9" s="38" t="n">
        <f aca="false">G53+G54</f>
        <v>280.665</v>
      </c>
      <c r="N9" s="38" t="n">
        <f aca="false">G55</f>
        <v>210.233</v>
      </c>
      <c r="O9" s="26" t="n">
        <f aca="false">G56</f>
        <v>3.49</v>
      </c>
      <c r="P9" s="35"/>
      <c r="Q9" s="35"/>
      <c r="R9" s="35"/>
      <c r="S9" s="19"/>
      <c r="T9" s="58" t="n">
        <v>1.208</v>
      </c>
      <c r="U9" s="58" t="n">
        <v>1.139</v>
      </c>
      <c r="V9" s="19"/>
      <c r="W9" s="47"/>
      <c r="X9" s="17" t="s">
        <v>607</v>
      </c>
    </row>
    <row r="10" customFormat="false" ht="15" hidden="false" customHeight="false" outlineLevel="0" collapsed="false">
      <c r="B10" s="59"/>
      <c r="C10" s="60" t="s">
        <v>608</v>
      </c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61"/>
      <c r="Q10" s="61"/>
      <c r="R10" s="61"/>
      <c r="S10" s="62"/>
      <c r="T10" s="59"/>
      <c r="U10" s="63"/>
      <c r="V10" s="59"/>
      <c r="W10" s="63"/>
    </row>
    <row r="11" customFormat="false" ht="15" hidden="false" customHeight="false" outlineLevel="0" collapsed="false">
      <c r="B11" s="59"/>
      <c r="C11" s="60" t="s">
        <v>609</v>
      </c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61"/>
      <c r="Q11" s="61"/>
      <c r="R11" s="61"/>
      <c r="S11" s="62"/>
      <c r="T11" s="59"/>
      <c r="U11" s="63"/>
      <c r="V11" s="59"/>
      <c r="W11" s="63"/>
    </row>
    <row r="12" customFormat="false" ht="15" hidden="false" customHeight="false" outlineLevel="0" collapsed="false">
      <c r="B12" s="59"/>
      <c r="C12" s="60" t="s">
        <v>610</v>
      </c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61"/>
      <c r="Q12" s="61"/>
      <c r="R12" s="61"/>
      <c r="S12" s="62"/>
      <c r="T12" s="59"/>
      <c r="U12" s="63"/>
      <c r="V12" s="59"/>
      <c r="W12" s="63"/>
    </row>
    <row r="13" customFormat="false" ht="15" hidden="false" customHeight="false" outlineLevel="0" collapsed="false">
      <c r="B13" s="59"/>
      <c r="C13" s="60" t="s">
        <v>611</v>
      </c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61"/>
      <c r="Q13" s="61"/>
      <c r="R13" s="61"/>
      <c r="S13" s="62"/>
      <c r="T13" s="59"/>
      <c r="U13" s="63"/>
      <c r="V13" s="59"/>
      <c r="W13" s="63"/>
    </row>
    <row r="14" customFormat="false" ht="15" hidden="false" customHeight="false" outlineLevel="0" collapsed="false">
      <c r="B14" s="59"/>
      <c r="C14" s="60" t="s">
        <v>612</v>
      </c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61"/>
      <c r="Q14" s="61"/>
      <c r="R14" s="61"/>
      <c r="S14" s="62"/>
      <c r="T14" s="59"/>
      <c r="U14" s="63"/>
      <c r="V14" s="59"/>
      <c r="W14" s="63"/>
    </row>
    <row r="15" customFormat="false" ht="15" hidden="false" customHeight="false" outlineLevel="0" collapsed="false">
      <c r="B15" s="59"/>
      <c r="C15" s="60" t="s">
        <v>613</v>
      </c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61"/>
      <c r="Q15" s="61"/>
      <c r="R15" s="61"/>
      <c r="S15" s="62"/>
      <c r="T15" s="59"/>
      <c r="U15" s="63"/>
      <c r="V15" s="59"/>
      <c r="W15" s="63"/>
    </row>
    <row r="17" customFormat="false" ht="15" hidden="false" customHeight="false" outlineLevel="0" collapsed="false">
      <c r="B17" s="3" t="s">
        <v>614</v>
      </c>
      <c r="C17" s="3" t="s">
        <v>615</v>
      </c>
      <c r="D17" s="55" t="n">
        <v>46203</v>
      </c>
      <c r="E17" s="56" t="n">
        <f aca="false">Inputs!$D$49</f>
        <v>329.55</v>
      </c>
      <c r="F17" s="21" t="n">
        <f aca="false">DCF!$D$73</f>
        <v>41.241274</v>
      </c>
      <c r="G17" s="22"/>
      <c r="H17" s="21" t="n">
        <f aca="false">Inputs!$D$55</f>
        <v>1437.5</v>
      </c>
      <c r="I17" s="21" t="n">
        <f aca="false">Inputs!$D$54</f>
        <v>970.035</v>
      </c>
      <c r="J17" s="22"/>
      <c r="K17" s="22"/>
      <c r="L17" s="21" t="n">
        <f aca="false">IS!J8</f>
        <v>2429.657</v>
      </c>
      <c r="M17" s="21" t="n">
        <f aca="false">IS!J37</f>
        <v>511.99</v>
      </c>
      <c r="N17" s="21" t="n">
        <f aca="false">IS!J24</f>
        <v>324.616</v>
      </c>
      <c r="O17" s="56" t="n">
        <f aca="false">IS!J30</f>
        <v>7.61345342600399</v>
      </c>
      <c r="P17" s="35"/>
      <c r="Q17" s="35"/>
      <c r="R17" s="35"/>
      <c r="S17" s="19"/>
      <c r="T17" s="58" t="n">
        <v>0.499</v>
      </c>
      <c r="U17" s="58" t="n">
        <v>0.664</v>
      </c>
      <c r="X17" s="17" t="s">
        <v>616</v>
      </c>
    </row>
    <row r="19" customFormat="false" ht="15" hidden="false" customHeight="false" outlineLevel="0" collapsed="false">
      <c r="B19" s="17" t="s">
        <v>617</v>
      </c>
    </row>
    <row r="20" customFormat="false" ht="15" hidden="false" customHeight="false" outlineLevel="0" collapsed="false">
      <c r="B20" s="17" t="s">
        <v>618</v>
      </c>
    </row>
    <row r="21" customFormat="false" ht="15" hidden="false" customHeight="false" outlineLevel="0" collapsed="false">
      <c r="B21" s="6" t="s">
        <v>619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customFormat="false" ht="15" hidden="false" customHeight="false" outlineLevel="0" collapsed="false">
      <c r="B22" s="11" t="s">
        <v>571</v>
      </c>
      <c r="C22" s="11" t="s">
        <v>620</v>
      </c>
      <c r="D22" s="11" t="s">
        <v>621</v>
      </c>
      <c r="E22" s="11" t="s">
        <v>622</v>
      </c>
      <c r="F22" s="11" t="s">
        <v>623</v>
      </c>
      <c r="G22" s="11" t="s">
        <v>624</v>
      </c>
      <c r="H22" s="11" t="s">
        <v>49</v>
      </c>
    </row>
    <row r="23" customFormat="false" ht="15" hidden="false" customHeight="false" outlineLevel="0" collapsed="false">
      <c r="B23" s="3" t="s">
        <v>593</v>
      </c>
    </row>
    <row r="24" customFormat="false" ht="15" hidden="false" customHeight="false" outlineLevel="0" collapsed="false">
      <c r="C24" s="17" t="s">
        <v>625</v>
      </c>
      <c r="D24" s="32" t="n">
        <v>1475.363</v>
      </c>
      <c r="G24" s="38" t="n">
        <f aca="false">D24</f>
        <v>1475.363</v>
      </c>
      <c r="H24" s="17" t="s">
        <v>626</v>
      </c>
    </row>
    <row r="25" customFormat="false" ht="15" hidden="false" customHeight="false" outlineLevel="0" collapsed="false">
      <c r="C25" s="17" t="s">
        <v>627</v>
      </c>
      <c r="D25" s="32" t="n">
        <v>149.874</v>
      </c>
      <c r="G25" s="38" t="n">
        <f aca="false">D25</f>
        <v>149.874</v>
      </c>
      <c r="H25" s="17" t="s">
        <v>626</v>
      </c>
    </row>
    <row r="26" customFormat="false" ht="15" hidden="false" customHeight="false" outlineLevel="0" collapsed="false">
      <c r="C26" s="17" t="s">
        <v>628</v>
      </c>
      <c r="D26" s="32" t="n">
        <v>27.952</v>
      </c>
      <c r="G26" s="38" t="n">
        <f aca="false">D26</f>
        <v>27.952</v>
      </c>
      <c r="H26" s="17" t="s">
        <v>626</v>
      </c>
    </row>
    <row r="27" customFormat="false" ht="15" hidden="false" customHeight="false" outlineLevel="0" collapsed="false">
      <c r="C27" s="17" t="s">
        <v>629</v>
      </c>
      <c r="D27" s="32" t="n">
        <v>139.283</v>
      </c>
      <c r="G27" s="38" t="n">
        <f aca="false">D27</f>
        <v>139.283</v>
      </c>
      <c r="H27" s="17" t="s">
        <v>626</v>
      </c>
    </row>
    <row r="28" customFormat="false" ht="15" hidden="false" customHeight="false" outlineLevel="0" collapsed="false">
      <c r="C28" s="17" t="s">
        <v>630</v>
      </c>
      <c r="D28" s="30" t="n">
        <v>1.63</v>
      </c>
      <c r="G28" s="26" t="n">
        <f aca="false">D28</f>
        <v>1.63</v>
      </c>
      <c r="H28" s="17" t="s">
        <v>626</v>
      </c>
    </row>
    <row r="30" customFormat="false" ht="15" hidden="false" customHeight="false" outlineLevel="0" collapsed="false">
      <c r="B30" s="3" t="s">
        <v>596</v>
      </c>
    </row>
    <row r="31" customFormat="false" ht="15" hidden="false" customHeight="false" outlineLevel="0" collapsed="false">
      <c r="C31" s="17" t="s">
        <v>625</v>
      </c>
      <c r="D31" s="32" t="n">
        <v>1501.779</v>
      </c>
      <c r="E31" s="32" t="n">
        <v>834.908</v>
      </c>
      <c r="F31" s="32" t="n">
        <v>734.648</v>
      </c>
      <c r="G31" s="38" t="n">
        <f aca="false">D31+E31-F31</f>
        <v>1602.039</v>
      </c>
      <c r="H31" s="17" t="s">
        <v>631</v>
      </c>
    </row>
    <row r="32" customFormat="false" ht="15" hidden="false" customHeight="false" outlineLevel="0" collapsed="false">
      <c r="C32" s="17" t="s">
        <v>627</v>
      </c>
      <c r="D32" s="32" t="n">
        <v>362.621</v>
      </c>
      <c r="E32" s="32" t="n">
        <v>214.868</v>
      </c>
      <c r="F32" s="32" t="n">
        <v>199.614</v>
      </c>
      <c r="G32" s="38" t="n">
        <f aca="false">D32+E32-F32</f>
        <v>377.875</v>
      </c>
      <c r="H32" s="17" t="s">
        <v>631</v>
      </c>
    </row>
    <row r="33" customFormat="false" ht="15" hidden="false" customHeight="false" outlineLevel="0" collapsed="false">
      <c r="C33" s="17" t="s">
        <v>632</v>
      </c>
      <c r="D33" s="32" t="n">
        <v>65.88</v>
      </c>
      <c r="E33" s="32" t="n">
        <v>32.191</v>
      </c>
      <c r="F33" s="32" t="n">
        <v>31.389</v>
      </c>
      <c r="G33" s="38" t="n">
        <f aca="false">D33+E33-F33</f>
        <v>66.682</v>
      </c>
      <c r="H33" s="17" t="s">
        <v>631</v>
      </c>
    </row>
    <row r="34" customFormat="false" ht="15" hidden="false" customHeight="false" outlineLevel="0" collapsed="false">
      <c r="C34" s="17" t="s">
        <v>633</v>
      </c>
      <c r="D34" s="32" t="n">
        <v>277.861</v>
      </c>
      <c r="E34" s="32" t="n">
        <v>173.959</v>
      </c>
      <c r="F34" s="32" t="n">
        <v>161.85</v>
      </c>
      <c r="G34" s="38" t="n">
        <f aca="false">D34+E34-F34</f>
        <v>289.97</v>
      </c>
      <c r="H34" s="17" t="s">
        <v>631</v>
      </c>
    </row>
    <row r="35" customFormat="false" ht="15" hidden="false" customHeight="false" outlineLevel="0" collapsed="false">
      <c r="C35" s="17" t="s">
        <v>630</v>
      </c>
      <c r="D35" s="30" t="n">
        <v>0.85</v>
      </c>
      <c r="E35" s="30" t="n">
        <v>0.55</v>
      </c>
      <c r="F35" s="30" t="n">
        <v>0.5</v>
      </c>
      <c r="G35" s="26" t="n">
        <f aca="false">D35+E35-F35</f>
        <v>0.9</v>
      </c>
      <c r="H35" s="17" t="s">
        <v>631</v>
      </c>
    </row>
    <row r="37" customFormat="false" ht="15" hidden="false" customHeight="false" outlineLevel="0" collapsed="false">
      <c r="B37" s="3" t="s">
        <v>599</v>
      </c>
    </row>
    <row r="38" customFormat="false" ht="15" hidden="false" customHeight="false" outlineLevel="0" collapsed="false">
      <c r="C38" s="17" t="s">
        <v>625</v>
      </c>
      <c r="D38" s="32" t="n">
        <v>3195.311</v>
      </c>
      <c r="E38" s="32" t="n">
        <v>1810.911</v>
      </c>
      <c r="F38" s="32" t="n">
        <v>1548.124</v>
      </c>
      <c r="G38" s="38" t="n">
        <f aca="false">D38+E38-F38</f>
        <v>3458.098</v>
      </c>
      <c r="H38" s="17" t="s">
        <v>634</v>
      </c>
    </row>
    <row r="39" customFormat="false" ht="15" hidden="false" customHeight="false" outlineLevel="0" collapsed="false">
      <c r="C39" s="17" t="s">
        <v>627</v>
      </c>
      <c r="D39" s="32" t="n">
        <v>916.369</v>
      </c>
      <c r="E39" s="32" t="n">
        <v>548.13</v>
      </c>
      <c r="F39" s="32" t="n">
        <v>429.64</v>
      </c>
      <c r="G39" s="38" t="n">
        <f aca="false">D39+E39-F39</f>
        <v>1034.859</v>
      </c>
      <c r="H39" s="17" t="s">
        <v>634</v>
      </c>
    </row>
    <row r="40" customFormat="false" ht="15" hidden="false" customHeight="false" outlineLevel="0" collapsed="false">
      <c r="C40" s="17" t="s">
        <v>635</v>
      </c>
      <c r="D40" s="32" t="n">
        <v>37.972</v>
      </c>
      <c r="E40" s="32" t="n">
        <v>22.458</v>
      </c>
      <c r="F40" s="32" t="n">
        <v>19.948</v>
      </c>
      <c r="G40" s="38" t="n">
        <f aca="false">D40+E40-F40</f>
        <v>40.482</v>
      </c>
      <c r="H40" s="17" t="s">
        <v>634</v>
      </c>
    </row>
    <row r="41" customFormat="false" ht="15" hidden="false" customHeight="false" outlineLevel="0" collapsed="false">
      <c r="C41" s="17" t="s">
        <v>633</v>
      </c>
      <c r="D41" s="32" t="n">
        <v>908.906</v>
      </c>
      <c r="E41" s="32" t="n">
        <v>534.365</v>
      </c>
      <c r="F41" s="32" t="n">
        <v>428.499</v>
      </c>
      <c r="G41" s="38" t="n">
        <f aca="false">D41+E41-F41</f>
        <v>1014.772</v>
      </c>
      <c r="H41" s="17" t="s">
        <v>634</v>
      </c>
    </row>
    <row r="42" customFormat="false" ht="15" hidden="false" customHeight="false" outlineLevel="0" collapsed="false">
      <c r="C42" s="17" t="s">
        <v>630</v>
      </c>
      <c r="D42" s="30" t="n">
        <v>5.44</v>
      </c>
      <c r="E42" s="30" t="n">
        <v>3.22</v>
      </c>
      <c r="F42" s="30" t="n">
        <v>2.56</v>
      </c>
      <c r="G42" s="26" t="n">
        <f aca="false">D42+E42-F42</f>
        <v>6.1</v>
      </c>
      <c r="H42" s="17" t="s">
        <v>634</v>
      </c>
    </row>
    <row r="44" customFormat="false" ht="15" hidden="false" customHeight="false" outlineLevel="0" collapsed="false">
      <c r="B44" s="3" t="s">
        <v>602</v>
      </c>
    </row>
    <row r="45" customFormat="false" ht="15" hidden="false" customHeight="false" outlineLevel="0" collapsed="false">
      <c r="C45" s="17" t="s">
        <v>625</v>
      </c>
      <c r="D45" s="32" t="n">
        <v>7902.5</v>
      </c>
      <c r="E45" s="32" t="n">
        <v>4204.2</v>
      </c>
      <c r="F45" s="32" t="n">
        <v>3826.4</v>
      </c>
      <c r="G45" s="38" t="n">
        <f aca="false">D45+E45-F45</f>
        <v>8280.3</v>
      </c>
      <c r="H45" s="17" t="s">
        <v>631</v>
      </c>
    </row>
    <row r="46" customFormat="false" ht="15" hidden="false" customHeight="false" outlineLevel="0" collapsed="false">
      <c r="C46" s="17" t="s">
        <v>627</v>
      </c>
      <c r="D46" s="32" t="n">
        <v>2235.4</v>
      </c>
      <c r="E46" s="32" t="n">
        <v>1154.3</v>
      </c>
      <c r="F46" s="32" t="n">
        <v>1074.1</v>
      </c>
      <c r="G46" s="38" t="n">
        <f aca="false">D46+E46-F46</f>
        <v>2315.6</v>
      </c>
      <c r="H46" s="17" t="s">
        <v>631</v>
      </c>
    </row>
    <row r="47" customFormat="false" ht="15" hidden="false" customHeight="false" outlineLevel="0" collapsed="false">
      <c r="C47" s="17" t="s">
        <v>636</v>
      </c>
      <c r="D47" s="32" t="n">
        <v>898.2</v>
      </c>
      <c r="E47" s="32" t="n">
        <v>461</v>
      </c>
      <c r="F47" s="32" t="n">
        <v>436.8</v>
      </c>
      <c r="G47" s="38" t="n">
        <f aca="false">D47+E47-F47</f>
        <v>922.4</v>
      </c>
      <c r="H47" s="17" t="s">
        <v>631</v>
      </c>
    </row>
    <row r="48" customFormat="false" ht="15" hidden="false" customHeight="false" outlineLevel="0" collapsed="false">
      <c r="C48" s="17" t="s">
        <v>633</v>
      </c>
      <c r="D48" s="32" t="n">
        <v>1536.3</v>
      </c>
      <c r="E48" s="32" t="n">
        <v>1677.4</v>
      </c>
      <c r="F48" s="32" t="n">
        <v>709.4</v>
      </c>
      <c r="G48" s="38" t="n">
        <f aca="false">D48+E48-F48</f>
        <v>2504.3</v>
      </c>
      <c r="H48" s="17" t="s">
        <v>631</v>
      </c>
    </row>
    <row r="49" customFormat="false" ht="15" hidden="false" customHeight="false" outlineLevel="0" collapsed="false">
      <c r="C49" s="17" t="s">
        <v>630</v>
      </c>
      <c r="D49" s="30" t="n">
        <v>14.2</v>
      </c>
      <c r="E49" s="30" t="n">
        <v>16.35</v>
      </c>
      <c r="F49" s="30" t="n">
        <v>6.55</v>
      </c>
      <c r="G49" s="26" t="n">
        <f aca="false">D49+E49-F49</f>
        <v>24</v>
      </c>
      <c r="H49" s="17" t="s">
        <v>631</v>
      </c>
    </row>
    <row r="51" customFormat="false" ht="15" hidden="false" customHeight="false" outlineLevel="0" collapsed="false">
      <c r="B51" s="3" t="s">
        <v>605</v>
      </c>
    </row>
    <row r="52" customFormat="false" ht="15" hidden="false" customHeight="false" outlineLevel="0" collapsed="false">
      <c r="C52" s="17" t="s">
        <v>625</v>
      </c>
      <c r="D52" s="32" t="n">
        <v>1081.392</v>
      </c>
      <c r="E52" s="32" t="n">
        <v>580.009</v>
      </c>
      <c r="F52" s="32" t="n">
        <v>535.208</v>
      </c>
      <c r="G52" s="38" t="n">
        <f aca="false">D52+E52-F52</f>
        <v>1126.193</v>
      </c>
      <c r="H52" s="17" t="s">
        <v>631</v>
      </c>
    </row>
    <row r="53" customFormat="false" ht="15" hidden="false" customHeight="false" outlineLevel="0" collapsed="false">
      <c r="C53" s="17" t="s">
        <v>627</v>
      </c>
      <c r="D53" s="32" t="n">
        <v>279.8</v>
      </c>
      <c r="E53" s="32" t="n">
        <v>131.168</v>
      </c>
      <c r="F53" s="32" t="n">
        <v>136.96</v>
      </c>
      <c r="G53" s="38" t="n">
        <f aca="false">D53+E53-F53</f>
        <v>274.008</v>
      </c>
      <c r="H53" s="17" t="s">
        <v>631</v>
      </c>
    </row>
    <row r="54" customFormat="false" ht="15" hidden="false" customHeight="false" outlineLevel="0" collapsed="false">
      <c r="C54" s="17" t="s">
        <v>628</v>
      </c>
      <c r="D54" s="32" t="n">
        <v>6.317</v>
      </c>
      <c r="E54" s="32" t="n">
        <v>3.465</v>
      </c>
      <c r="F54" s="32" t="n">
        <v>3.125</v>
      </c>
      <c r="G54" s="38" t="n">
        <f aca="false">D54+E54-F54</f>
        <v>6.657</v>
      </c>
      <c r="H54" s="17" t="s">
        <v>631</v>
      </c>
    </row>
    <row r="55" customFormat="false" ht="15" hidden="false" customHeight="false" outlineLevel="0" collapsed="false">
      <c r="C55" s="17" t="s">
        <v>633</v>
      </c>
      <c r="D55" s="32" t="n">
        <v>219.948</v>
      </c>
      <c r="E55" s="32" t="n">
        <v>99.647</v>
      </c>
      <c r="F55" s="32" t="n">
        <v>109.362</v>
      </c>
      <c r="G55" s="38" t="n">
        <f aca="false">D55+E55-F55</f>
        <v>210.233</v>
      </c>
      <c r="H55" s="17" t="s">
        <v>631</v>
      </c>
    </row>
    <row r="56" customFormat="false" ht="15" hidden="false" customHeight="false" outlineLevel="0" collapsed="false">
      <c r="C56" s="17" t="s">
        <v>630</v>
      </c>
      <c r="D56" s="30" t="n">
        <v>3.6</v>
      </c>
      <c r="E56" s="30" t="n">
        <v>1.67</v>
      </c>
      <c r="F56" s="30" t="n">
        <v>1.78</v>
      </c>
      <c r="G56" s="26" t="n">
        <f aca="false">D56+E56-F56</f>
        <v>3.49</v>
      </c>
      <c r="H56" s="17" t="s">
        <v>631</v>
      </c>
    </row>
  </sheetData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IC Simulator · Tyler Technologies (TYL) · Advanced · Practice use only · 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J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9" min="3" style="0" width="12"/>
    <col collapsed="false" customWidth="true" hidden="false" outlineLevel="0" max="10" min="10" style="0" width="16"/>
  </cols>
  <sheetData>
    <row r="1" customFormat="false" ht="17.35" hidden="false" customHeight="false" outlineLevel="0" collapsed="false">
      <c r="B1" s="9" t="s">
        <v>637</v>
      </c>
    </row>
    <row r="2" customFormat="false" ht="15" hidden="false" customHeight="false" outlineLevel="0" collapsed="false">
      <c r="B2" s="10" t="s">
        <v>638</v>
      </c>
    </row>
    <row r="4" customFormat="false" ht="15" hidden="false" customHeight="false" outlineLevel="0" collapsed="false">
      <c r="B4" s="6" t="s">
        <v>639</v>
      </c>
      <c r="C4" s="7"/>
      <c r="D4" s="7"/>
      <c r="E4" s="7"/>
      <c r="F4" s="7"/>
      <c r="G4" s="7"/>
      <c r="H4" s="7"/>
      <c r="I4" s="6" t="s">
        <v>640</v>
      </c>
    </row>
    <row r="5" customFormat="false" ht="15" hidden="false" customHeight="false" outlineLevel="0" collapsed="false">
      <c r="B5" s="17" t="s">
        <v>641</v>
      </c>
      <c r="D5" s="64" t="n">
        <f aca="false">DCF!$D$50+(-2)*$I$5</f>
        <v>-0.01</v>
      </c>
      <c r="E5" s="64" t="n">
        <f aca="false">DCF!$D$50+(-1)*$I$5</f>
        <v>-0.005</v>
      </c>
      <c r="F5" s="65" t="n">
        <f aca="false">DCF!$D$50</f>
        <v>0</v>
      </c>
      <c r="G5" s="64" t="n">
        <f aca="false">DCF!$D$50+(1)*$I$5</f>
        <v>0.005</v>
      </c>
      <c r="H5" s="64" t="n">
        <f aca="false">DCF!$D$50+(2)*$I$5</f>
        <v>0.01</v>
      </c>
      <c r="I5" s="34" t="n">
        <v>0.005</v>
      </c>
      <c r="J5" s="17" t="s">
        <v>642</v>
      </c>
    </row>
    <row r="6" customFormat="false" ht="15" hidden="false" customHeight="false" outlineLevel="0" collapsed="false">
      <c r="C6" s="64" t="n">
        <f aca="false">DCF!$D$47+(-2)*$I$6</f>
        <v>-0.01</v>
      </c>
      <c r="D6" s="27"/>
      <c r="E6" s="27"/>
      <c r="F6" s="27"/>
      <c r="G6" s="27"/>
      <c r="H6" s="27"/>
      <c r="I6" s="34" t="n">
        <v>0.005</v>
      </c>
      <c r="J6" s="17" t="s">
        <v>643</v>
      </c>
    </row>
    <row r="7" customFormat="false" ht="15" hidden="false" customHeight="false" outlineLevel="0" collapsed="false">
      <c r="C7" s="64" t="n">
        <f aca="false">DCF!$D$47+(-1)*$I$6</f>
        <v>-0.005</v>
      </c>
      <c r="D7" s="27"/>
      <c r="E7" s="27"/>
      <c r="F7" s="27"/>
      <c r="G7" s="27"/>
      <c r="H7" s="27"/>
    </row>
    <row r="8" customFormat="false" ht="15" hidden="false" customHeight="false" outlineLevel="0" collapsed="false">
      <c r="C8" s="65" t="n">
        <f aca="false">DCF!$D$47</f>
        <v>0</v>
      </c>
      <c r="D8" s="27"/>
      <c r="E8" s="27"/>
      <c r="F8" s="66"/>
      <c r="G8" s="27"/>
      <c r="H8" s="27"/>
    </row>
    <row r="9" customFormat="false" ht="15" hidden="false" customHeight="false" outlineLevel="0" collapsed="false">
      <c r="C9" s="64" t="n">
        <f aca="false">DCF!$D$47+(1)*$I$6</f>
        <v>0.005</v>
      </c>
      <c r="D9" s="27"/>
      <c r="E9" s="27"/>
      <c r="F9" s="27"/>
      <c r="G9" s="27"/>
      <c r="H9" s="27"/>
    </row>
    <row r="10" customFormat="false" ht="15" hidden="false" customHeight="false" outlineLevel="0" collapsed="false">
      <c r="C10" s="64" t="n">
        <f aca="false">DCF!$D$47+(2)*$I$6</f>
        <v>0.01</v>
      </c>
      <c r="D10" s="27"/>
      <c r="E10" s="27"/>
      <c r="F10" s="27"/>
      <c r="G10" s="27"/>
      <c r="H10" s="27"/>
    </row>
    <row r="12" customFormat="false" ht="15" hidden="false" customHeight="false" outlineLevel="0" collapsed="false">
      <c r="B12" s="17" t="s">
        <v>644</v>
      </c>
    </row>
    <row r="14" customFormat="false" ht="15" hidden="false" customHeight="false" outlineLevel="0" collapsed="false">
      <c r="B14" s="6" t="s">
        <v>645</v>
      </c>
      <c r="C14" s="7"/>
      <c r="D14" s="7"/>
      <c r="E14" s="7"/>
      <c r="F14" s="7"/>
      <c r="G14" s="7"/>
      <c r="H14" s="7"/>
      <c r="I14" s="6" t="s">
        <v>640</v>
      </c>
    </row>
    <row r="15" customFormat="false" ht="15" hidden="false" customHeight="false" outlineLevel="0" collapsed="false">
      <c r="B15" s="17" t="s">
        <v>646</v>
      </c>
      <c r="D15" s="67" t="n">
        <f aca="false">DCF!$D$51+(-2)*$I$15</f>
        <v>-2</v>
      </c>
      <c r="E15" s="67" t="n">
        <f aca="false">DCF!$D$51+(-1)*$I$15</f>
        <v>-1</v>
      </c>
      <c r="F15" s="68" t="n">
        <f aca="false">DCF!$D$51</f>
        <v>0</v>
      </c>
      <c r="G15" s="67" t="n">
        <f aca="false">DCF!$D$51+(1)*$I$15</f>
        <v>1</v>
      </c>
      <c r="H15" s="67" t="n">
        <f aca="false">DCF!$D$51+(2)*$I$15</f>
        <v>2</v>
      </c>
      <c r="I15" s="69" t="n">
        <v>1</v>
      </c>
      <c r="J15" s="17" t="s">
        <v>642</v>
      </c>
    </row>
    <row r="16" customFormat="false" ht="15" hidden="false" customHeight="false" outlineLevel="0" collapsed="false">
      <c r="C16" s="64" t="n">
        <f aca="false">DCF!$D$47+(-2)*$I$16</f>
        <v>-0.01</v>
      </c>
      <c r="D16" s="27"/>
      <c r="E16" s="27"/>
      <c r="F16" s="27"/>
      <c r="G16" s="27"/>
      <c r="H16" s="27"/>
      <c r="I16" s="34" t="n">
        <v>0.005</v>
      </c>
      <c r="J16" s="17" t="s">
        <v>643</v>
      </c>
    </row>
    <row r="17" customFormat="false" ht="15" hidden="false" customHeight="false" outlineLevel="0" collapsed="false">
      <c r="C17" s="64" t="n">
        <f aca="false">DCF!$D$47+(-1)*$I$16</f>
        <v>-0.005</v>
      </c>
      <c r="D17" s="27"/>
      <c r="E17" s="27"/>
      <c r="F17" s="27"/>
      <c r="G17" s="27"/>
      <c r="H17" s="27"/>
    </row>
    <row r="18" customFormat="false" ht="15" hidden="false" customHeight="false" outlineLevel="0" collapsed="false">
      <c r="C18" s="65" t="n">
        <f aca="false">DCF!$D$47</f>
        <v>0</v>
      </c>
      <c r="D18" s="27"/>
      <c r="E18" s="27"/>
      <c r="F18" s="66"/>
      <c r="G18" s="27"/>
      <c r="H18" s="27"/>
    </row>
    <row r="19" customFormat="false" ht="15" hidden="false" customHeight="false" outlineLevel="0" collapsed="false">
      <c r="C19" s="64" t="n">
        <f aca="false">DCF!$D$47+(1)*$I$16</f>
        <v>0.005</v>
      </c>
      <c r="D19" s="27"/>
      <c r="E19" s="27"/>
      <c r="F19" s="27"/>
      <c r="G19" s="27"/>
      <c r="H19" s="27"/>
    </row>
    <row r="20" customFormat="false" ht="15" hidden="false" customHeight="false" outlineLevel="0" collapsed="false">
      <c r="C20" s="64" t="n">
        <f aca="false">DCF!$D$47+(2)*$I$16</f>
        <v>0.01</v>
      </c>
      <c r="D20" s="27"/>
      <c r="E20" s="27"/>
      <c r="F20" s="27"/>
      <c r="G20" s="27"/>
      <c r="H20" s="27"/>
    </row>
    <row r="22" customFormat="false" ht="15" hidden="false" customHeight="false" outlineLevel="0" collapsed="false">
      <c r="B22" s="17" t="s">
        <v>647</v>
      </c>
    </row>
    <row r="24" customFormat="false" ht="15" hidden="false" customHeight="false" outlineLevel="0" collapsed="false">
      <c r="B24" s="6" t="s">
        <v>648</v>
      </c>
      <c r="C24" s="7"/>
      <c r="D24" s="7"/>
      <c r="E24" s="7"/>
      <c r="F24" s="7"/>
      <c r="G24" s="7"/>
      <c r="H24" s="7"/>
      <c r="I24" s="6" t="s">
        <v>640</v>
      </c>
    </row>
    <row r="25" customFormat="false" ht="15" hidden="false" customHeight="false" outlineLevel="0" collapsed="false">
      <c r="B25" s="17" t="s">
        <v>649</v>
      </c>
      <c r="D25" s="64" t="n">
        <f aca="false">0+(-2)*$I$25</f>
        <v>-0.01</v>
      </c>
      <c r="E25" s="64" t="n">
        <f aca="false">0+(-1)*$I$25</f>
        <v>-0.005</v>
      </c>
      <c r="F25" s="64" t="n">
        <f aca="false">0</f>
        <v>0</v>
      </c>
      <c r="G25" s="64" t="n">
        <f aca="false">0+(1)*$I$25</f>
        <v>0.005</v>
      </c>
      <c r="H25" s="64" t="n">
        <f aca="false">0+(2)*$I$25</f>
        <v>0.01</v>
      </c>
      <c r="I25" s="34" t="n">
        <v>0.005</v>
      </c>
      <c r="J25" s="17" t="s">
        <v>642</v>
      </c>
    </row>
    <row r="26" customFormat="false" ht="15" hidden="false" customHeight="false" outlineLevel="0" collapsed="false">
      <c r="C26" s="64" t="n">
        <f aca="false">0+(-2)*$I$26</f>
        <v>-0.02</v>
      </c>
      <c r="D26" s="27"/>
      <c r="E26" s="27"/>
      <c r="F26" s="27"/>
      <c r="G26" s="27"/>
      <c r="H26" s="27"/>
      <c r="I26" s="34" t="n">
        <v>0.01</v>
      </c>
      <c r="J26" s="17" t="s">
        <v>643</v>
      </c>
    </row>
    <row r="27" customFormat="false" ht="15" hidden="false" customHeight="false" outlineLevel="0" collapsed="false">
      <c r="C27" s="64" t="n">
        <f aca="false">0+(-1)*$I$26</f>
        <v>-0.01</v>
      </c>
      <c r="D27" s="27"/>
      <c r="E27" s="27"/>
      <c r="F27" s="27"/>
      <c r="G27" s="27"/>
      <c r="H27" s="27"/>
    </row>
    <row r="28" customFormat="false" ht="15" hidden="false" customHeight="false" outlineLevel="0" collapsed="false">
      <c r="C28" s="64" t="n">
        <f aca="false">0</f>
        <v>0</v>
      </c>
      <c r="D28" s="27"/>
      <c r="E28" s="27"/>
      <c r="F28" s="66"/>
      <c r="G28" s="27"/>
      <c r="H28" s="27"/>
    </row>
    <row r="29" customFormat="false" ht="15" hidden="false" customHeight="false" outlineLevel="0" collapsed="false">
      <c r="C29" s="64" t="n">
        <f aca="false">0+(1)*$I$26</f>
        <v>0.01</v>
      </c>
      <c r="D29" s="27"/>
      <c r="E29" s="27"/>
      <c r="F29" s="27"/>
      <c r="G29" s="27"/>
      <c r="H29" s="27"/>
    </row>
    <row r="30" customFormat="false" ht="15" hidden="false" customHeight="false" outlineLevel="0" collapsed="false">
      <c r="C30" s="64" t="n">
        <f aca="false">0+(2)*$I$26</f>
        <v>0.02</v>
      </c>
      <c r="D30" s="27"/>
      <c r="E30" s="27"/>
      <c r="F30" s="27"/>
      <c r="G30" s="27"/>
      <c r="H30" s="27"/>
    </row>
    <row r="32" customFormat="false" ht="15" hidden="false" customHeight="false" outlineLevel="0" collapsed="false">
      <c r="B32" s="17" t="s">
        <v>650</v>
      </c>
    </row>
  </sheetData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IC Simulator · Tyler Technologies (TYL) · Advanced · Practice use only · 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G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4"/>
    <col collapsed="false" customWidth="true" hidden="false" outlineLevel="0" max="6" min="3" style="0" width="13"/>
    <col collapsed="false" customWidth="true" hidden="false" outlineLevel="0" max="7" min="7" style="0" width="70"/>
  </cols>
  <sheetData>
    <row r="1" customFormat="false" ht="17.35" hidden="false" customHeight="false" outlineLevel="0" collapsed="false">
      <c r="B1" s="9" t="s">
        <v>651</v>
      </c>
    </row>
    <row r="2" customFormat="false" ht="15" hidden="false" customHeight="false" outlineLevel="0" collapsed="false">
      <c r="B2" s="10" t="s">
        <v>652</v>
      </c>
    </row>
    <row r="4" customFormat="false" ht="15" hidden="false" customHeight="false" outlineLevel="0" collapsed="false">
      <c r="B4" s="11" t="s">
        <v>653</v>
      </c>
      <c r="C4" s="11" t="s">
        <v>654</v>
      </c>
      <c r="D4" s="11" t="s">
        <v>655</v>
      </c>
      <c r="E4" s="11" t="s">
        <v>656</v>
      </c>
      <c r="G4" s="11" t="s">
        <v>657</v>
      </c>
    </row>
    <row r="5" customFormat="false" ht="15" hidden="false" customHeight="false" outlineLevel="0" collapsed="false">
      <c r="B5" s="4" t="s">
        <v>658</v>
      </c>
      <c r="C5" s="30" t="n">
        <v>270.71</v>
      </c>
      <c r="D5" s="30" t="n">
        <v>524.43</v>
      </c>
      <c r="E5" s="26" t="n">
        <f aca="false">D5-C5</f>
        <v>253.72</v>
      </c>
      <c r="G5" s="17" t="s">
        <v>659</v>
      </c>
    </row>
    <row r="6" customFormat="false" ht="15" hidden="false" customHeight="false" outlineLevel="0" collapsed="false">
      <c r="B6" s="4" t="s">
        <v>660</v>
      </c>
      <c r="C6" s="27"/>
      <c r="D6" s="27"/>
      <c r="E6" s="27"/>
      <c r="G6" s="17" t="s">
        <v>661</v>
      </c>
    </row>
    <row r="7" customFormat="false" ht="15" hidden="false" customHeight="false" outlineLevel="0" collapsed="false">
      <c r="B7" s="4" t="s">
        <v>662</v>
      </c>
      <c r="C7" s="27"/>
      <c r="D7" s="27"/>
      <c r="E7" s="27"/>
      <c r="G7" s="17" t="s">
        <v>663</v>
      </c>
    </row>
    <row r="8" customFormat="false" ht="15" hidden="false" customHeight="false" outlineLevel="0" collapsed="false">
      <c r="B8" s="4" t="s">
        <v>664</v>
      </c>
      <c r="C8" s="27"/>
      <c r="D8" s="27"/>
      <c r="E8" s="27"/>
      <c r="G8" s="17" t="s">
        <v>665</v>
      </c>
    </row>
    <row r="9" customFormat="false" ht="15" hidden="false" customHeight="false" outlineLevel="0" collapsed="false">
      <c r="B9" s="4" t="s">
        <v>666</v>
      </c>
      <c r="C9" s="27"/>
      <c r="D9" s="27"/>
      <c r="E9" s="27"/>
      <c r="G9" s="17" t="s">
        <v>667</v>
      </c>
    </row>
    <row r="11" customFormat="false" ht="15" hidden="false" customHeight="false" outlineLevel="0" collapsed="false">
      <c r="B11" s="0" t="s">
        <v>567</v>
      </c>
      <c r="C11" s="56" t="n">
        <f aca="false">Inputs!$D$49</f>
        <v>329.55</v>
      </c>
    </row>
    <row r="12" customFormat="false" ht="15" hidden="false" customHeight="false" outlineLevel="0" collapsed="false">
      <c r="B12" s="0" t="s">
        <v>668</v>
      </c>
      <c r="C12" s="27"/>
    </row>
    <row r="14" customFormat="false" ht="15" hidden="false" customHeight="false" outlineLevel="0" collapsed="false">
      <c r="B14" s="17" t="s">
        <v>669</v>
      </c>
    </row>
  </sheetData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IC Simulator · Tyler Technologies (TYL) · Advanced · Practice use only · 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P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3" min="3" style="0" width="9"/>
    <col collapsed="false" customWidth="true" hidden="false" outlineLevel="0" max="15" min="4" style="0" width="11.5"/>
    <col collapsed="false" customWidth="true" hidden="false" outlineLevel="0" max="16" min="16" style="0" width="70"/>
  </cols>
  <sheetData>
    <row r="1" customFormat="false" ht="17.35" hidden="false" customHeight="false" outlineLevel="0" collapsed="false">
      <c r="B1" s="9" t="s">
        <v>670</v>
      </c>
    </row>
    <row r="2" customFormat="false" ht="15" hidden="false" customHeight="false" outlineLevel="0" collapsed="false">
      <c r="B2" s="10" t="s">
        <v>671</v>
      </c>
    </row>
    <row r="4" customFormat="false" ht="15" hidden="false" customHeight="false" outlineLevel="0" collapsed="false">
      <c r="B4" s="11" t="s">
        <v>67</v>
      </c>
      <c r="C4" s="11" t="s">
        <v>12</v>
      </c>
      <c r="D4" s="12" t="s">
        <v>672</v>
      </c>
      <c r="E4" s="12" t="s">
        <v>673</v>
      </c>
      <c r="F4" s="12" t="s">
        <v>674</v>
      </c>
      <c r="G4" s="12" t="s">
        <v>675</v>
      </c>
      <c r="H4" s="12" t="s">
        <v>676</v>
      </c>
      <c r="I4" s="12" t="s">
        <v>677</v>
      </c>
      <c r="J4" s="12" t="s">
        <v>678</v>
      </c>
      <c r="K4" s="12" t="s">
        <v>679</v>
      </c>
      <c r="L4" s="12" t="s">
        <v>680</v>
      </c>
      <c r="M4" s="12" t="s">
        <v>681</v>
      </c>
      <c r="N4" s="12" t="s">
        <v>70</v>
      </c>
      <c r="O4" s="12" t="s">
        <v>71</v>
      </c>
      <c r="P4" s="11" t="s">
        <v>80</v>
      </c>
    </row>
    <row r="5" customFormat="false" ht="15" hidden="false" customHeight="false" outlineLevel="0" collapsed="false">
      <c r="B5" s="13" t="s">
        <v>81</v>
      </c>
      <c r="C5" s="14"/>
      <c r="D5" s="15" t="n">
        <v>45382</v>
      </c>
      <c r="E5" s="15" t="n">
        <v>45473</v>
      </c>
      <c r="F5" s="15" t="n">
        <v>45565</v>
      </c>
      <c r="G5" s="15" t="n">
        <v>45657</v>
      </c>
      <c r="H5" s="15" t="n">
        <v>45747</v>
      </c>
      <c r="I5" s="15" t="n">
        <v>45838</v>
      </c>
      <c r="J5" s="15" t="n">
        <v>45930</v>
      </c>
      <c r="K5" s="15" t="n">
        <v>46022</v>
      </c>
      <c r="L5" s="15" t="n">
        <v>46112</v>
      </c>
      <c r="M5" s="15" t="n">
        <v>46203</v>
      </c>
      <c r="N5" s="15" t="n">
        <v>45657</v>
      </c>
      <c r="O5" s="15" t="n">
        <v>46022</v>
      </c>
      <c r="P5" s="14"/>
    </row>
    <row r="6" customFormat="false" ht="15" hidden="false" customHeight="false" outlineLevel="0" collapsed="false">
      <c r="B6" s="13" t="s">
        <v>82</v>
      </c>
      <c r="C6" s="14"/>
      <c r="D6" s="16" t="n">
        <v>13</v>
      </c>
      <c r="E6" s="16" t="n">
        <v>13</v>
      </c>
      <c r="F6" s="16" t="n">
        <v>13</v>
      </c>
      <c r="G6" s="16" t="n">
        <v>13</v>
      </c>
      <c r="H6" s="16" t="n">
        <v>13</v>
      </c>
      <c r="I6" s="16" t="n">
        <v>13</v>
      </c>
      <c r="J6" s="16" t="n">
        <v>13</v>
      </c>
      <c r="K6" s="16" t="n">
        <v>13</v>
      </c>
      <c r="L6" s="16" t="n">
        <v>13</v>
      </c>
      <c r="M6" s="16" t="n">
        <v>13</v>
      </c>
      <c r="N6" s="16" t="n">
        <v>52</v>
      </c>
      <c r="O6" s="16" t="n">
        <v>52</v>
      </c>
      <c r="P6" s="14"/>
    </row>
    <row r="8" customFormat="false" ht="15" hidden="false" customHeight="false" outlineLevel="0" collapsed="false">
      <c r="B8" s="6" t="s">
        <v>682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customFormat="false" ht="15" hidden="false" customHeight="false" outlineLevel="0" collapsed="false">
      <c r="B9" s="4" t="s">
        <v>220</v>
      </c>
      <c r="C9" s="17" t="s">
        <v>105</v>
      </c>
      <c r="D9" s="32" t="n">
        <v>512.359</v>
      </c>
      <c r="E9" s="32" t="n">
        <v>540.976</v>
      </c>
      <c r="F9" s="32" t="n">
        <v>543.337</v>
      </c>
      <c r="G9" s="38" t="n">
        <f aca="false">IS!F8-SUM(D9:F9)</f>
        <v>541.131</v>
      </c>
      <c r="H9" s="32" t="n">
        <v>565.165</v>
      </c>
      <c r="I9" s="32" t="n">
        <v>596.117</v>
      </c>
      <c r="J9" s="32" t="n">
        <v>595.879</v>
      </c>
      <c r="K9" s="38" t="n">
        <f aca="false">IS!G8-SUM(H9:J9)</f>
        <v>575.179</v>
      </c>
      <c r="L9" s="32" t="n">
        <v>613.503</v>
      </c>
      <c r="M9" s="32" t="n">
        <v>645.096</v>
      </c>
      <c r="N9" s="38" t="n">
        <f aca="false">SUM(D9:G9)</f>
        <v>2137.803</v>
      </c>
      <c r="O9" s="38" t="n">
        <f aca="false">SUM(H9:K9)</f>
        <v>2332.34</v>
      </c>
      <c r="P9" s="20" t="s">
        <v>683</v>
      </c>
    </row>
    <row r="10" customFormat="false" ht="15" hidden="false" customHeight="false" outlineLevel="0" collapsed="false">
      <c r="B10" s="4" t="s">
        <v>684</v>
      </c>
      <c r="C10" s="17" t="s">
        <v>105</v>
      </c>
      <c r="D10" s="32" t="n">
        <v>148.784</v>
      </c>
      <c r="E10" s="32" t="n">
        <v>155.978</v>
      </c>
      <c r="F10" s="32" t="n">
        <v>166.624</v>
      </c>
      <c r="G10" s="38" t="n">
        <f aca="false">'Revenue &amp; ARR build'!F9-SUM(D10:F10)</f>
        <v>173.393</v>
      </c>
      <c r="H10" s="32" t="n">
        <v>180.08</v>
      </c>
      <c r="I10" s="32" t="n">
        <v>189.571</v>
      </c>
      <c r="J10" s="32" t="n">
        <v>199.786</v>
      </c>
      <c r="K10" s="38" t="n">
        <f aca="false">'Revenue &amp; ARR build'!G9-SUM(H10:J10)</f>
        <v>208.332</v>
      </c>
      <c r="L10" s="32" t="n">
        <v>222.356</v>
      </c>
      <c r="M10" s="32" t="n">
        <v>230.641</v>
      </c>
      <c r="N10" s="38" t="n">
        <f aca="false">SUM(D10:G10)</f>
        <v>644.779</v>
      </c>
      <c r="O10" s="38" t="n">
        <f aca="false">SUM(H10:K10)</f>
        <v>777.769</v>
      </c>
      <c r="P10" s="20" t="s">
        <v>683</v>
      </c>
    </row>
    <row r="11" customFormat="false" ht="15" hidden="false" customHeight="false" outlineLevel="0" collapsed="false">
      <c r="B11" s="4" t="s">
        <v>685</v>
      </c>
      <c r="C11" s="17" t="s">
        <v>105</v>
      </c>
      <c r="D11" s="32" t="n">
        <v>164.459</v>
      </c>
      <c r="E11" s="32" t="n">
        <v>177.704</v>
      </c>
      <c r="F11" s="32" t="n">
        <v>180.546</v>
      </c>
      <c r="G11" s="38" t="n">
        <f aca="false">'Revenue &amp; ARR build'!F10-SUM(D11:F11)</f>
        <v>175.443</v>
      </c>
      <c r="H11" s="32" t="n">
        <v>194.909</v>
      </c>
      <c r="I11" s="32" t="n">
        <v>215.504</v>
      </c>
      <c r="J11" s="32" t="n">
        <v>201.308</v>
      </c>
      <c r="K11" s="38" t="n">
        <f aca="false">'Revenue &amp; ARR build'!G10-SUM(H11:J11)</f>
        <v>196.713</v>
      </c>
      <c r="L11" s="32" t="n">
        <v>207.389</v>
      </c>
      <c r="M11" s="32" t="n">
        <v>223.083</v>
      </c>
      <c r="N11" s="38" t="n">
        <f aca="false">SUM(D11:G11)</f>
        <v>698.152</v>
      </c>
      <c r="O11" s="38" t="n">
        <f aca="false">SUM(H11:K11)</f>
        <v>808.434</v>
      </c>
      <c r="P11" s="20" t="s">
        <v>683</v>
      </c>
    </row>
    <row r="12" customFormat="false" ht="15" hidden="false" customHeight="false" outlineLevel="0" collapsed="false">
      <c r="B12" s="4" t="s">
        <v>686</v>
      </c>
      <c r="C12" s="17" t="s">
        <v>105</v>
      </c>
      <c r="D12" s="32" t="n">
        <v>117.218</v>
      </c>
      <c r="E12" s="32" t="n">
        <v>115.309</v>
      </c>
      <c r="F12" s="32" t="n">
        <v>115.587</v>
      </c>
      <c r="G12" s="38" t="n">
        <f aca="false">'Revenue &amp; ARR build'!F11-SUM(D12:F12)</f>
        <v>115.018</v>
      </c>
      <c r="H12" s="32" t="n">
        <v>112.801</v>
      </c>
      <c r="I12" s="32" t="n">
        <v>112.123</v>
      </c>
      <c r="J12" s="32" t="n">
        <v>111.312</v>
      </c>
      <c r="K12" s="38" t="n">
        <f aca="false">'Revenue &amp; ARR build'!G11-SUM(H12:J12)</f>
        <v>109.378</v>
      </c>
      <c r="L12" s="32" t="n">
        <v>108.874</v>
      </c>
      <c r="M12" s="32" t="n">
        <v>105.81</v>
      </c>
      <c r="N12" s="38" t="n">
        <f aca="false">SUM(D12:G12)</f>
        <v>463.132</v>
      </c>
      <c r="O12" s="38" t="n">
        <f aca="false">SUM(H12:K12)</f>
        <v>445.614</v>
      </c>
      <c r="P12" s="20" t="s">
        <v>683</v>
      </c>
    </row>
    <row r="13" customFormat="false" ht="15" hidden="false" customHeight="false" outlineLevel="0" collapsed="false">
      <c r="B13" s="4" t="s">
        <v>687</v>
      </c>
      <c r="C13" s="17" t="s">
        <v>105</v>
      </c>
      <c r="D13" s="32" t="n">
        <v>66.978</v>
      </c>
      <c r="E13" s="32" t="n">
        <v>78.035</v>
      </c>
      <c r="F13" s="32" t="n">
        <v>82.827</v>
      </c>
      <c r="G13" s="38" t="n">
        <f aca="false">IS!F17-SUM(D13:F13)</f>
        <v>71.686</v>
      </c>
      <c r="H13" s="32" t="n">
        <v>89.173</v>
      </c>
      <c r="I13" s="32" t="n">
        <v>95.596</v>
      </c>
      <c r="J13" s="32" t="n">
        <v>97.932</v>
      </c>
      <c r="K13" s="38" t="n">
        <f aca="false">IS!G17-SUM(H13:J13)</f>
        <v>74.9750000000001</v>
      </c>
      <c r="L13" s="32" t="n">
        <v>99.812</v>
      </c>
      <c r="M13" s="32" t="n">
        <v>95.095</v>
      </c>
      <c r="N13" s="38" t="n">
        <f aca="false">SUM(D13:G13)</f>
        <v>299.526</v>
      </c>
      <c r="O13" s="38" t="n">
        <f aca="false">SUM(H13:K13)</f>
        <v>357.676</v>
      </c>
      <c r="P13" s="20" t="s">
        <v>683</v>
      </c>
    </row>
    <row r="14" customFormat="false" ht="15" hidden="false" customHeight="false" outlineLevel="0" collapsed="false">
      <c r="B14" s="4" t="s">
        <v>264</v>
      </c>
      <c r="C14" s="17" t="s">
        <v>105</v>
      </c>
      <c r="D14" s="32" t="n">
        <v>54.17</v>
      </c>
      <c r="E14" s="32" t="n">
        <v>67.738</v>
      </c>
      <c r="F14" s="32" t="n">
        <v>75.897</v>
      </c>
      <c r="G14" s="38" t="n">
        <f aca="false">IS!F24-SUM(D14:F14)</f>
        <v>65.221</v>
      </c>
      <c r="H14" s="32" t="n">
        <v>81.052</v>
      </c>
      <c r="I14" s="32" t="n">
        <v>84.627</v>
      </c>
      <c r="J14" s="32" t="n">
        <v>84.393</v>
      </c>
      <c r="K14" s="38" t="n">
        <f aca="false">IS!G24-SUM(H14:J14)</f>
        <v>65.5310000000002</v>
      </c>
      <c r="L14" s="32" t="n">
        <v>81.18</v>
      </c>
      <c r="M14" s="32" t="n">
        <v>93.512</v>
      </c>
      <c r="N14" s="38" t="n">
        <f aca="false">SUM(D14:G14)</f>
        <v>263.026</v>
      </c>
      <c r="O14" s="38" t="n">
        <f aca="false">SUM(H14:K14)</f>
        <v>315.603</v>
      </c>
      <c r="P14" s="20" t="s">
        <v>683</v>
      </c>
    </row>
    <row r="15" customFormat="false" ht="15" hidden="false" customHeight="false" outlineLevel="0" collapsed="false">
      <c r="B15" s="4" t="s">
        <v>688</v>
      </c>
      <c r="C15" s="17" t="s">
        <v>105</v>
      </c>
      <c r="D15" s="38" t="n">
        <f aca="false">D10+D11+D12</f>
        <v>430.461</v>
      </c>
      <c r="E15" s="38" t="n">
        <f aca="false">E10+E11+E12</f>
        <v>448.991</v>
      </c>
      <c r="F15" s="38" t="n">
        <f aca="false">F10+F11+F12</f>
        <v>462.757</v>
      </c>
      <c r="G15" s="38" t="n">
        <f aca="false">G10+G11+G12</f>
        <v>463.854</v>
      </c>
      <c r="H15" s="38" t="n">
        <f aca="false">H10+H11+H12</f>
        <v>487.79</v>
      </c>
      <c r="I15" s="38" t="n">
        <f aca="false">I10+I11+I12</f>
        <v>517.198</v>
      </c>
      <c r="J15" s="38" t="n">
        <f aca="false">J10+J11+J12</f>
        <v>512.406</v>
      </c>
      <c r="K15" s="38" t="n">
        <f aca="false">K10+K11+K12</f>
        <v>514.423</v>
      </c>
      <c r="L15" s="38" t="n">
        <f aca="false">L10+L11+L12</f>
        <v>538.619</v>
      </c>
      <c r="M15" s="38" t="n">
        <f aca="false">M10+M11+M12</f>
        <v>559.534</v>
      </c>
      <c r="N15" s="38" t="n">
        <f aca="false">N10+N11+N12</f>
        <v>1806.063</v>
      </c>
      <c r="O15" s="38" t="n">
        <f aca="false">O10+O11+O12</f>
        <v>2031.817</v>
      </c>
    </row>
    <row r="16" customFormat="false" ht="15" hidden="false" customHeight="false" outlineLevel="0" collapsed="false">
      <c r="B16" s="4" t="s">
        <v>689</v>
      </c>
      <c r="C16" s="17" t="s">
        <v>105</v>
      </c>
      <c r="D16" s="38" t="n">
        <f aca="false">D15*4</f>
        <v>1721.844</v>
      </c>
      <c r="E16" s="38" t="n">
        <f aca="false">E15*4</f>
        <v>1795.964</v>
      </c>
      <c r="F16" s="38" t="n">
        <f aca="false">F15*4</f>
        <v>1851.028</v>
      </c>
      <c r="G16" s="38" t="n">
        <f aca="false">G15*4</f>
        <v>1855.416</v>
      </c>
      <c r="H16" s="38" t="n">
        <f aca="false">H15*4</f>
        <v>1951.16</v>
      </c>
      <c r="I16" s="38" t="n">
        <f aca="false">I15*4</f>
        <v>2068.792</v>
      </c>
      <c r="J16" s="38" t="n">
        <f aca="false">J15*4</f>
        <v>2049.624</v>
      </c>
      <c r="K16" s="38" t="n">
        <f aca="false">K15*4</f>
        <v>2057.692</v>
      </c>
      <c r="L16" s="38" t="n">
        <f aca="false">L15*4</f>
        <v>2154.476</v>
      </c>
      <c r="M16" s="38" t="n">
        <f aca="false">M15*4</f>
        <v>2238.136</v>
      </c>
      <c r="P16" s="20" t="s">
        <v>690</v>
      </c>
    </row>
    <row r="17" customFormat="false" ht="15" hidden="false" customHeight="false" outlineLevel="0" collapsed="false">
      <c r="B17" s="4" t="s">
        <v>691</v>
      </c>
      <c r="C17" s="17" t="s">
        <v>85</v>
      </c>
      <c r="D17" s="18" t="n">
        <f aca="false">D13/D9</f>
        <v>0.130724745734924</v>
      </c>
      <c r="E17" s="18" t="n">
        <f aca="false">E13/E9</f>
        <v>0.144248543373458</v>
      </c>
      <c r="F17" s="18" t="n">
        <f aca="false">F13/F9</f>
        <v>0.152441302543357</v>
      </c>
      <c r="G17" s="18" t="n">
        <f aca="false">G13/G9</f>
        <v>0.132474391598338</v>
      </c>
      <c r="H17" s="18" t="n">
        <f aca="false">H13/H9</f>
        <v>0.157782240584608</v>
      </c>
      <c r="I17" s="18" t="n">
        <f aca="false">I13/I9</f>
        <v>0.160364492205389</v>
      </c>
      <c r="J17" s="18" t="n">
        <f aca="false">J13/J9</f>
        <v>0.164348802357526</v>
      </c>
      <c r="K17" s="18" t="n">
        <f aca="false">K13/K9</f>
        <v>0.130350725600205</v>
      </c>
      <c r="L17" s="18" t="n">
        <f aca="false">L13/L9</f>
        <v>0.162691950976605</v>
      </c>
      <c r="M17" s="18" t="n">
        <f aca="false">M13/M9</f>
        <v>0.147412168111413</v>
      </c>
      <c r="N17" s="18" t="n">
        <f aca="false">N13/N9</f>
        <v>0.140109261704657</v>
      </c>
      <c r="O17" s="18" t="n">
        <f aca="false">O13/O9</f>
        <v>0.153354999699872</v>
      </c>
    </row>
    <row r="18" customFormat="false" ht="15" hidden="false" customHeight="false" outlineLevel="0" collapsed="false">
      <c r="B18" s="4" t="s">
        <v>692</v>
      </c>
      <c r="C18" s="17" t="s">
        <v>85</v>
      </c>
      <c r="H18" s="18" t="n">
        <f aca="false">H10/D10-1</f>
        <v>0.210345198408431</v>
      </c>
      <c r="I18" s="18" t="n">
        <f aca="false">I10/E10-1</f>
        <v>0.215370116298452</v>
      </c>
      <c r="J18" s="18" t="n">
        <f aca="false">J10/F10-1</f>
        <v>0.199022949875168</v>
      </c>
      <c r="K18" s="18" t="n">
        <f aca="false">K10/G10-1</f>
        <v>0.201501790729729</v>
      </c>
      <c r="L18" s="18" t="n">
        <f aca="false">L10/H10-1</f>
        <v>0.234762327854287</v>
      </c>
      <c r="M18" s="18" t="n">
        <f aca="false">M10/I10-1</f>
        <v>0.216647060995616</v>
      </c>
    </row>
    <row r="19" customFormat="false" ht="15" hidden="false" customHeight="false" outlineLevel="0" collapsed="false">
      <c r="B19" s="4" t="s">
        <v>693</v>
      </c>
      <c r="C19" s="17" t="s">
        <v>85</v>
      </c>
      <c r="H19" s="18" t="n">
        <f aca="false">H11/D11-1</f>
        <v>0.185152530417916</v>
      </c>
      <c r="I19" s="18" t="n">
        <f aca="false">I11/E11-1</f>
        <v>0.212713276009544</v>
      </c>
      <c r="J19" s="18" t="n">
        <f aca="false">J11/F11-1</f>
        <v>0.114995624383814</v>
      </c>
      <c r="K19" s="18" t="n">
        <f aca="false">K11/G11-1</f>
        <v>0.12123595697748</v>
      </c>
      <c r="L19" s="18" t="n">
        <f aca="false">L11/H11-1</f>
        <v>0.0640298806109518</v>
      </c>
      <c r="M19" s="18" t="n">
        <f aca="false">M11/I11-1</f>
        <v>0.0351687207662039</v>
      </c>
    </row>
    <row r="20" customFormat="false" ht="15" hidden="false" customHeight="false" outlineLevel="0" collapsed="false">
      <c r="B20" s="4" t="s">
        <v>694</v>
      </c>
      <c r="C20" s="17" t="s">
        <v>85</v>
      </c>
      <c r="H20" s="18" t="n">
        <f aca="false">H16/D16-1</f>
        <v>0.13318047395699</v>
      </c>
      <c r="I20" s="18" t="n">
        <f aca="false">I16/E16-1</f>
        <v>0.151911730970109</v>
      </c>
      <c r="J20" s="18" t="n">
        <f aca="false">J16/F16-1</f>
        <v>0.10728957098434</v>
      </c>
      <c r="K20" s="18" t="n">
        <f aca="false">K16/G16-1</f>
        <v>0.109019217253705</v>
      </c>
      <c r="L20" s="18" t="n">
        <f aca="false">L16/H16-1</f>
        <v>0.10420262818016</v>
      </c>
      <c r="M20" s="18" t="n">
        <f aca="false">M16/I16-1</f>
        <v>0.0818564650288671</v>
      </c>
    </row>
    <row r="21" customFormat="false" ht="15" hidden="false" customHeight="false" outlineLevel="0" collapsed="false">
      <c r="B21" s="4" t="s">
        <v>695</v>
      </c>
      <c r="C21" s="17" t="s">
        <v>105</v>
      </c>
      <c r="I21" s="43" t="n">
        <f aca="false">H9+I9-IS!H8</f>
        <v>0</v>
      </c>
      <c r="M21" s="43" t="n">
        <f aca="false">L9+M9-IS!I8</f>
        <v>0</v>
      </c>
    </row>
    <row r="22" customFormat="false" ht="15" hidden="false" customHeight="false" outlineLevel="0" collapsed="false">
      <c r="B22" s="4" t="s">
        <v>696</v>
      </c>
      <c r="C22" s="17" t="s">
        <v>105</v>
      </c>
      <c r="I22" s="43" t="n">
        <f aca="false">H10+I10-'Revenue &amp; ARR build'!H9</f>
        <v>0</v>
      </c>
      <c r="M22" s="43" t="n">
        <f aca="false">L10+M10-'Revenue &amp; ARR build'!I9</f>
        <v>0</v>
      </c>
    </row>
    <row r="23" customFormat="false" ht="15" hidden="false" customHeight="false" outlineLevel="0" collapsed="false">
      <c r="B23" s="4" t="s">
        <v>697</v>
      </c>
      <c r="C23" s="17" t="s">
        <v>105</v>
      </c>
      <c r="M23" s="32" t="n">
        <v>2240</v>
      </c>
      <c r="P23" s="20" t="s">
        <v>698</v>
      </c>
    </row>
    <row r="24" customFormat="false" ht="15" hidden="false" customHeight="false" outlineLevel="0" collapsed="false">
      <c r="B24" s="4" t="s">
        <v>699</v>
      </c>
      <c r="C24" s="17" t="s">
        <v>105</v>
      </c>
      <c r="M24" s="43" t="n">
        <f aca="false">M16-M23</f>
        <v>-1.86400000000003</v>
      </c>
    </row>
    <row r="25" customFormat="false" ht="15" hidden="false" customHeight="false" outlineLevel="0" collapsed="false">
      <c r="B25" s="17" t="s">
        <v>700</v>
      </c>
    </row>
  </sheetData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IC Simulator · Tyler Technologies (TYL) · Advanced · Practice use only · 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F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70"/>
    <col collapsed="false" customWidth="true" hidden="false" outlineLevel="0" max="3" min="3" style="0" width="14"/>
    <col collapsed="false" customWidth="true" hidden="false" outlineLevel="0" max="5" min="4" style="0" width="12"/>
    <col collapsed="false" customWidth="true" hidden="false" outlineLevel="0" max="6" min="6" style="0" width="60"/>
  </cols>
  <sheetData>
    <row r="1" customFormat="false" ht="17.35" hidden="false" customHeight="false" outlineLevel="0" collapsed="false">
      <c r="B1" s="9" t="s">
        <v>701</v>
      </c>
    </row>
    <row r="2" customFormat="false" ht="15" hidden="false" customHeight="false" outlineLevel="0" collapsed="false">
      <c r="B2" s="10" t="s">
        <v>702</v>
      </c>
    </row>
    <row r="4" customFormat="false" ht="15" hidden="false" customHeight="false" outlineLevel="0" collapsed="false">
      <c r="B4" s="11" t="s">
        <v>703</v>
      </c>
      <c r="C4" s="11" t="s">
        <v>704</v>
      </c>
      <c r="D4" s="11" t="s">
        <v>705</v>
      </c>
      <c r="E4" s="11" t="s">
        <v>706</v>
      </c>
      <c r="F4" s="11" t="s">
        <v>707</v>
      </c>
    </row>
    <row r="5" customFormat="false" ht="15" hidden="false" customHeight="false" outlineLevel="0" collapsed="false">
      <c r="B5" s="4" t="s">
        <v>708</v>
      </c>
      <c r="C5" s="70" t="n">
        <f aca="false">BS!K49</f>
        <v>0</v>
      </c>
      <c r="D5" s="71" t="n">
        <v>0</v>
      </c>
      <c r="E5" s="72" t="str">
        <f aca="false">IF(ABS(C5)&lt;=D5+0.000000001,"OK","CHECK")</f>
        <v>OK</v>
      </c>
      <c r="F5" s="17" t="s">
        <v>709</v>
      </c>
    </row>
    <row r="6" customFormat="false" ht="15" hidden="false" customHeight="false" outlineLevel="0" collapsed="false">
      <c r="B6" s="4" t="s">
        <v>710</v>
      </c>
      <c r="C6" s="70" t="n">
        <f aca="false">BS!L49</f>
        <v>0</v>
      </c>
      <c r="D6" s="71" t="n">
        <v>0</v>
      </c>
      <c r="E6" s="72" t="str">
        <f aca="false">IF(ABS(C6)&lt;=D6+0.000000001,"OK","CHECK")</f>
        <v>OK</v>
      </c>
      <c r="F6" s="17" t="s">
        <v>709</v>
      </c>
    </row>
    <row r="7" customFormat="false" ht="15" hidden="false" customHeight="false" outlineLevel="0" collapsed="false">
      <c r="B7" s="4" t="s">
        <v>711</v>
      </c>
      <c r="C7" s="70" t="n">
        <f aca="false">BS!M49</f>
        <v>0</v>
      </c>
      <c r="D7" s="71" t="n">
        <v>0</v>
      </c>
      <c r="E7" s="72" t="str">
        <f aca="false">IF(ABS(C7)&lt;=D7+0.000000001,"OK","CHECK")</f>
        <v>OK</v>
      </c>
      <c r="F7" s="17" t="s">
        <v>709</v>
      </c>
    </row>
    <row r="8" customFormat="false" ht="15" hidden="false" customHeight="false" outlineLevel="0" collapsed="false">
      <c r="B8" s="4" t="s">
        <v>712</v>
      </c>
      <c r="C8" s="70" t="n">
        <f aca="false">BS!N49</f>
        <v>0</v>
      </c>
      <c r="D8" s="71" t="n">
        <v>0</v>
      </c>
      <c r="E8" s="72" t="str">
        <f aca="false">IF(ABS(C8)&lt;=D8+0.000000001,"OK","CHECK")</f>
        <v>OK</v>
      </c>
      <c r="F8" s="17" t="s">
        <v>709</v>
      </c>
    </row>
    <row r="9" customFormat="false" ht="15" hidden="false" customHeight="false" outlineLevel="0" collapsed="false">
      <c r="B9" s="4" t="s">
        <v>713</v>
      </c>
      <c r="C9" s="70" t="n">
        <f aca="false">BS!O49</f>
        <v>0</v>
      </c>
      <c r="D9" s="71" t="n">
        <v>0</v>
      </c>
      <c r="E9" s="72" t="str">
        <f aca="false">IF(ABS(C9)&lt;=D9+0.000000001,"OK","CHECK")</f>
        <v>OK</v>
      </c>
      <c r="F9" s="17" t="s">
        <v>709</v>
      </c>
    </row>
    <row r="10" customFormat="false" ht="15" hidden="false" customHeight="false" outlineLevel="0" collapsed="false">
      <c r="B10" s="4" t="s">
        <v>714</v>
      </c>
      <c r="C10" s="70" t="n">
        <f aca="false">BS!D49</f>
        <v>0</v>
      </c>
      <c r="D10" s="71" t="n">
        <v>0.5</v>
      </c>
      <c r="E10" s="72" t="str">
        <f aca="false">IF(ABS(C10)&lt;=D10+0.000000001,"OK","CHECK")</f>
        <v>OK</v>
      </c>
      <c r="F10" s="17" t="s">
        <v>715</v>
      </c>
    </row>
    <row r="11" customFormat="false" ht="15" hidden="false" customHeight="false" outlineLevel="0" collapsed="false">
      <c r="B11" s="4" t="s">
        <v>716</v>
      </c>
      <c r="C11" s="70" t="n">
        <f aca="false">BS!E49</f>
        <v>0</v>
      </c>
      <c r="D11" s="71" t="n">
        <v>0.5</v>
      </c>
      <c r="E11" s="72" t="str">
        <f aca="false">IF(ABS(C11)&lt;=D11+0.000000001,"OK","CHECK")</f>
        <v>OK</v>
      </c>
      <c r="F11" s="17" t="s">
        <v>715</v>
      </c>
    </row>
    <row r="12" customFormat="false" ht="15" hidden="false" customHeight="false" outlineLevel="0" collapsed="false">
      <c r="B12" s="4" t="s">
        <v>717</v>
      </c>
      <c r="C12" s="70" t="n">
        <f aca="false">BS!F49</f>
        <v>0</v>
      </c>
      <c r="D12" s="71" t="n">
        <v>0.5</v>
      </c>
      <c r="E12" s="72" t="str">
        <f aca="false">IF(ABS(C12)&lt;=D12+0.000000001,"OK","CHECK")</f>
        <v>OK</v>
      </c>
      <c r="F12" s="17" t="s">
        <v>715</v>
      </c>
    </row>
    <row r="13" customFormat="false" ht="15" hidden="false" customHeight="false" outlineLevel="0" collapsed="false">
      <c r="B13" s="4" t="s">
        <v>718</v>
      </c>
      <c r="C13" s="70" t="n">
        <f aca="false">BS!G49</f>
        <v>0</v>
      </c>
      <c r="D13" s="71" t="n">
        <v>0.5</v>
      </c>
      <c r="E13" s="72" t="str">
        <f aca="false">IF(ABS(C13)&lt;=D13+0.000000001,"OK","CHECK")</f>
        <v>OK</v>
      </c>
      <c r="F13" s="17" t="s">
        <v>715</v>
      </c>
    </row>
    <row r="14" customFormat="false" ht="15" hidden="false" customHeight="false" outlineLevel="0" collapsed="false">
      <c r="B14" s="4" t="s">
        <v>719</v>
      </c>
      <c r="C14" s="70" t="n">
        <f aca="false">BS!H49</f>
        <v>0</v>
      </c>
      <c r="D14" s="71" t="n">
        <v>0.5</v>
      </c>
      <c r="E14" s="72" t="str">
        <f aca="false">IF(ABS(C14)&lt;=D14+0.000000001,"OK","CHECK")</f>
        <v>OK</v>
      </c>
      <c r="F14" s="17" t="s">
        <v>715</v>
      </c>
    </row>
    <row r="15" customFormat="false" ht="15" hidden="false" customHeight="false" outlineLevel="0" collapsed="false">
      <c r="B15" s="4" t="s">
        <v>720</v>
      </c>
      <c r="C15" s="70" t="n">
        <f aca="false">BS!I49</f>
        <v>0</v>
      </c>
      <c r="D15" s="71" t="n">
        <v>0.5</v>
      </c>
      <c r="E15" s="72" t="str">
        <f aca="false">IF(ABS(C15)&lt;=D15+0.000000001,"OK","CHECK")</f>
        <v>OK</v>
      </c>
      <c r="F15" s="17" t="s">
        <v>715</v>
      </c>
    </row>
    <row r="16" customFormat="false" ht="15" hidden="false" customHeight="false" outlineLevel="0" collapsed="false">
      <c r="B16" s="4" t="s">
        <v>721</v>
      </c>
      <c r="C16" s="43" t="n">
        <f aca="false">CF!K48-BS!K9</f>
        <v>0</v>
      </c>
      <c r="D16" s="71" t="n">
        <v>0</v>
      </c>
      <c r="E16" s="72" t="str">
        <f aca="false">IF(ABS(C16)&lt;=D16+0.000000001,"OK","CHECK")</f>
        <v>OK</v>
      </c>
      <c r="F16" s="17" t="s">
        <v>709</v>
      </c>
    </row>
    <row r="17" customFormat="false" ht="15" hidden="false" customHeight="false" outlineLevel="0" collapsed="false">
      <c r="B17" s="4" t="s">
        <v>722</v>
      </c>
      <c r="C17" s="43" t="n">
        <f aca="false">CF!L48-BS!L9</f>
        <v>0</v>
      </c>
      <c r="D17" s="71" t="n">
        <v>0</v>
      </c>
      <c r="E17" s="72" t="str">
        <f aca="false">IF(ABS(C17)&lt;=D17+0.000000001,"OK","CHECK")</f>
        <v>OK</v>
      </c>
      <c r="F17" s="17" t="s">
        <v>709</v>
      </c>
    </row>
    <row r="18" customFormat="false" ht="15" hidden="false" customHeight="false" outlineLevel="0" collapsed="false">
      <c r="B18" s="4" t="s">
        <v>723</v>
      </c>
      <c r="C18" s="43" t="n">
        <f aca="false">CF!M48-BS!M9</f>
        <v>0</v>
      </c>
      <c r="D18" s="71" t="n">
        <v>0</v>
      </c>
      <c r="E18" s="72" t="str">
        <f aca="false">IF(ABS(C18)&lt;=D18+0.000000001,"OK","CHECK")</f>
        <v>OK</v>
      </c>
      <c r="F18" s="17" t="s">
        <v>709</v>
      </c>
    </row>
    <row r="19" customFormat="false" ht="15" hidden="false" customHeight="false" outlineLevel="0" collapsed="false">
      <c r="B19" s="4" t="s">
        <v>724</v>
      </c>
      <c r="C19" s="43" t="n">
        <f aca="false">CF!N48-BS!N9</f>
        <v>0</v>
      </c>
      <c r="D19" s="71" t="n">
        <v>0</v>
      </c>
      <c r="E19" s="72" t="str">
        <f aca="false">IF(ABS(C19)&lt;=D19+0.000000001,"OK","CHECK")</f>
        <v>OK</v>
      </c>
      <c r="F19" s="17" t="s">
        <v>709</v>
      </c>
    </row>
    <row r="20" customFormat="false" ht="15" hidden="false" customHeight="false" outlineLevel="0" collapsed="false">
      <c r="B20" s="4" t="s">
        <v>725</v>
      </c>
      <c r="C20" s="43" t="n">
        <f aca="false">CF!O48-BS!O9</f>
        <v>0</v>
      </c>
      <c r="D20" s="71" t="n">
        <v>0</v>
      </c>
      <c r="E20" s="72" t="str">
        <f aca="false">IF(ABS(C20)&lt;=D20+0.000000001,"OK","CHECK")</f>
        <v>OK</v>
      </c>
      <c r="F20" s="17" t="s">
        <v>709</v>
      </c>
    </row>
    <row r="21" customFormat="false" ht="15" hidden="false" customHeight="false" outlineLevel="0" collapsed="false">
      <c r="B21" s="4" t="s">
        <v>726</v>
      </c>
      <c r="C21" s="43" t="n">
        <f aca="false">ABS(IS!D44)+ABS(IS!E44)+ABS(IS!F44)+ABS(IS!G44)+ABS(IS!H44)+ABS(IS!I44)</f>
        <v>0</v>
      </c>
      <c r="D21" s="71" t="n">
        <v>3</v>
      </c>
      <c r="E21" s="72" t="str">
        <f aca="false">IF(ABS(C21)&lt;=D21+0.000000001,"OK","CHECK")</f>
        <v>OK</v>
      </c>
      <c r="F21" s="17" t="s">
        <v>727</v>
      </c>
    </row>
    <row r="22" customFormat="false" ht="15" hidden="false" customHeight="false" outlineLevel="0" collapsed="false">
      <c r="B22" s="4" t="s">
        <v>728</v>
      </c>
      <c r="C22" s="43" t="n">
        <f aca="false">ABS(IS!D46)+ABS(IS!E46)+ABS(IS!F46)+ABS(IS!G46)+ABS(IS!H46)+ABS(IS!I46)</f>
        <v>0</v>
      </c>
      <c r="D22" s="71" t="n">
        <v>3</v>
      </c>
      <c r="E22" s="72" t="str">
        <f aca="false">IF(ABS(C22)&lt;=D22+0.000000001,"OK","CHECK")</f>
        <v>OK</v>
      </c>
      <c r="F22" s="17" t="s">
        <v>727</v>
      </c>
    </row>
    <row r="23" customFormat="false" ht="15" hidden="false" customHeight="false" outlineLevel="0" collapsed="false">
      <c r="B23" s="4" t="s">
        <v>729</v>
      </c>
      <c r="C23" s="43" t="n">
        <f aca="false">ABS(IS!D48)+ABS(IS!E48)+ABS(IS!F48)+ABS(IS!G48)+ABS(IS!H48)+ABS(IS!I48)</f>
        <v>0</v>
      </c>
      <c r="D23" s="71" t="n">
        <v>3</v>
      </c>
      <c r="E23" s="72" t="str">
        <f aca="false">IF(ABS(C23)&lt;=D23+0.000000001,"OK","CHECK")</f>
        <v>OK</v>
      </c>
      <c r="F23" s="17" t="s">
        <v>727</v>
      </c>
    </row>
    <row r="24" customFormat="false" ht="15" hidden="false" customHeight="false" outlineLevel="0" collapsed="false">
      <c r="B24" s="4" t="s">
        <v>730</v>
      </c>
      <c r="C24" s="43" t="n">
        <f aca="false">ABS(IS!D50)+ABS(IS!E50)+ABS(IS!F50)+ABS(IS!G50)+ABS(IS!H50)+ABS(IS!I50)</f>
        <v>0</v>
      </c>
      <c r="D24" s="71" t="n">
        <v>3</v>
      </c>
      <c r="E24" s="72" t="str">
        <f aca="false">IF(ABS(C24)&lt;=D24+0.000000001,"OK","CHECK")</f>
        <v>OK</v>
      </c>
      <c r="F24" s="17" t="s">
        <v>727</v>
      </c>
    </row>
    <row r="25" customFormat="false" ht="15" hidden="false" customHeight="false" outlineLevel="0" collapsed="false">
      <c r="B25" s="4" t="s">
        <v>731</v>
      </c>
      <c r="C25" s="43" t="n">
        <f aca="false">MAX(ABS(MIN(IS!D52:IS52)),ABS(MAX(IS!D52:IS52)))</f>
        <v>0.00406306797527956</v>
      </c>
      <c r="D25" s="71" t="n">
        <v>0.006</v>
      </c>
      <c r="E25" s="72" t="str">
        <f aca="false">IF(ABS(C25)&lt;=D25+0.000000001,"OK","CHECK")</f>
        <v>OK</v>
      </c>
      <c r="F25" s="17" t="s">
        <v>732</v>
      </c>
    </row>
    <row r="26" customFormat="false" ht="15" hidden="false" customHeight="false" outlineLevel="0" collapsed="false">
      <c r="B26" s="4" t="s">
        <v>733</v>
      </c>
      <c r="C26" s="43" t="n">
        <f aca="false">ABS(BS!D58)+ABS(BS!E58)+ABS(BS!F58)+ABS(BS!G58)+ABS(BS!H58)+ABS(BS!I58)</f>
        <v>0</v>
      </c>
      <c r="D26" s="71" t="n">
        <v>3</v>
      </c>
      <c r="E26" s="72" t="str">
        <f aca="false">IF(ABS(C26)&lt;=D26+0.000000001,"OK","CHECK")</f>
        <v>OK</v>
      </c>
      <c r="F26" s="17" t="s">
        <v>734</v>
      </c>
    </row>
    <row r="27" customFormat="false" ht="15" hidden="false" customHeight="false" outlineLevel="0" collapsed="false">
      <c r="B27" s="4" t="s">
        <v>735</v>
      </c>
      <c r="C27" s="43" t="n">
        <f aca="false">ABS(BS!D60)+ABS(BS!E60)+ABS(BS!F60)+ABS(BS!G60)+ABS(BS!H60)+ABS(BS!I60)</f>
        <v>0</v>
      </c>
      <c r="D27" s="71" t="n">
        <v>3</v>
      </c>
      <c r="E27" s="72" t="str">
        <f aca="false">IF(ABS(C27)&lt;=D27+0.000000001,"OK","CHECK")</f>
        <v>OK</v>
      </c>
      <c r="F27" s="17" t="s">
        <v>734</v>
      </c>
    </row>
    <row r="28" customFormat="false" ht="15" hidden="false" customHeight="false" outlineLevel="0" collapsed="false">
      <c r="B28" s="4" t="s">
        <v>736</v>
      </c>
      <c r="C28" s="43" t="n">
        <f aca="false">ABS(BS!D62)+ABS(BS!E62)+ABS(BS!F62)+ABS(BS!G62)+ABS(BS!H62)+ABS(BS!I62)</f>
        <v>0</v>
      </c>
      <c r="D28" s="71" t="n">
        <v>3</v>
      </c>
      <c r="E28" s="72" t="str">
        <f aca="false">IF(ABS(C28)&lt;=D28+0.000000001,"OK","CHECK")</f>
        <v>OK</v>
      </c>
      <c r="F28" s="17" t="s">
        <v>734</v>
      </c>
    </row>
    <row r="29" customFormat="false" ht="15" hidden="false" customHeight="false" outlineLevel="0" collapsed="false">
      <c r="B29" s="4" t="s">
        <v>737</v>
      </c>
      <c r="C29" s="43" t="n">
        <f aca="false">ABS(CF!D56)+ABS(CF!E56)+ABS(CF!F56)+ABS(CF!G56)+ABS(CF!H56)+ABS(CF!I56)</f>
        <v>0</v>
      </c>
      <c r="D29" s="71" t="n">
        <v>3</v>
      </c>
      <c r="E29" s="72" t="str">
        <f aca="false">IF(ABS(C29)&lt;=D29+0.000000001,"OK","CHECK")</f>
        <v>OK</v>
      </c>
      <c r="F29" s="17" t="s">
        <v>715</v>
      </c>
    </row>
    <row r="30" customFormat="false" ht="15" hidden="false" customHeight="false" outlineLevel="0" collapsed="false">
      <c r="B30" s="4" t="s">
        <v>738</v>
      </c>
      <c r="C30" s="43" t="n">
        <f aca="false">ABS(CF!D58)+ABS(CF!E58)+ABS(CF!F58)+ABS(CF!G58)+ABS(CF!H58)+ABS(CF!I58)</f>
        <v>0</v>
      </c>
      <c r="D30" s="71" t="n">
        <v>3</v>
      </c>
      <c r="E30" s="72" t="str">
        <f aca="false">IF(ABS(C30)&lt;=D30+0.000000001,"OK","CHECK")</f>
        <v>OK</v>
      </c>
      <c r="F30" s="17" t="s">
        <v>715</v>
      </c>
    </row>
    <row r="31" customFormat="false" ht="15" hidden="false" customHeight="false" outlineLevel="0" collapsed="false">
      <c r="B31" s="4" t="s">
        <v>739</v>
      </c>
      <c r="C31" s="43" t="n">
        <f aca="false">ABS(CF!D60)+ABS(CF!E60)+ABS(CF!F60)+ABS(CF!G60)+ABS(CF!H60)+ABS(CF!I60)</f>
        <v>0</v>
      </c>
      <c r="D31" s="71" t="n">
        <v>3</v>
      </c>
      <c r="E31" s="72" t="str">
        <f aca="false">IF(ABS(C31)&lt;=D31+0.000000001,"OK","CHECK")</f>
        <v>OK</v>
      </c>
      <c r="F31" s="17" t="s">
        <v>715</v>
      </c>
    </row>
    <row r="32" customFormat="false" ht="15" hidden="false" customHeight="false" outlineLevel="0" collapsed="false">
      <c r="B32" s="4" t="s">
        <v>740</v>
      </c>
      <c r="C32" s="43" t="n">
        <f aca="false">ABS(CF!D62)+ABS(CF!E62)+ABS(CF!F62)+ABS(CF!G62)+ABS(CF!H62)+ABS(CF!I62)</f>
        <v>0</v>
      </c>
      <c r="D32" s="71" t="n">
        <v>3</v>
      </c>
      <c r="E32" s="72" t="str">
        <f aca="false">IF(ABS(C32)&lt;=D32+0.000000001,"OK","CHECK")</f>
        <v>OK</v>
      </c>
      <c r="F32" s="17" t="s">
        <v>715</v>
      </c>
    </row>
    <row r="33" customFormat="false" ht="15" hidden="false" customHeight="false" outlineLevel="0" collapsed="false">
      <c r="B33" s="4" t="s">
        <v>741</v>
      </c>
      <c r="C33" s="43" t="n">
        <f aca="false">ABS(CF!D48-BS!D9)+ABS(CF!E48-BS!E9)+ABS(CF!F48-BS!F9)+ABS(CF!G48-BS!G9)+ABS(CF!H48-BS!H9)+ABS(CF!I48-BS!I9)</f>
        <v>0</v>
      </c>
      <c r="D33" s="71" t="n">
        <v>0.5</v>
      </c>
      <c r="E33" s="72" t="str">
        <f aca="false">IF(ABS(C33)&lt;=D33+0.000000001,"OK","CHECK")</f>
        <v>OK</v>
      </c>
      <c r="F33" s="17" t="s">
        <v>715</v>
      </c>
    </row>
    <row r="34" customFormat="false" ht="15" hidden="false" customHeight="false" outlineLevel="0" collapsed="false">
      <c r="B34" s="4" t="s">
        <v>742</v>
      </c>
      <c r="C34" s="43" t="n">
        <f aca="false">ABS('Revenue &amp; ARR build'!D16)+ABS('Revenue &amp; ARR build'!E16)+ABS('Revenue &amp; ARR build'!F16)+ABS('Revenue &amp; ARR build'!G16)+ABS('Revenue &amp; ARR build'!H16)+ABS('Revenue &amp; ARR build'!I16)</f>
        <v>0</v>
      </c>
      <c r="D34" s="71" t="n">
        <v>0.5</v>
      </c>
      <c r="E34" s="72" t="str">
        <f aca="false">IF(ABS(C34)&lt;=D34+0.000000001,"OK","CHECK")</f>
        <v>OK</v>
      </c>
      <c r="F34" s="17" t="s">
        <v>715</v>
      </c>
    </row>
    <row r="35" customFormat="false" ht="15" hidden="false" customHeight="false" outlineLevel="0" collapsed="false">
      <c r="B35" s="4" t="s">
        <v>743</v>
      </c>
      <c r="C35" s="43" t="n">
        <f aca="false">ABS(Quarterly!I21)+ABS(Quarterly!M21)+ABS(Quarterly!I22)+ABS(Quarterly!M22)</f>
        <v>0</v>
      </c>
      <c r="D35" s="71" t="n">
        <v>0.5</v>
      </c>
      <c r="E35" s="72" t="str">
        <f aca="false">IF(ABS(C35)&lt;=D35+0.000000001,"OK","CHECK")</f>
        <v>OK</v>
      </c>
      <c r="F35" s="17" t="s">
        <v>715</v>
      </c>
    </row>
    <row r="36" customFormat="false" ht="15" hidden="false" customHeight="false" outlineLevel="0" collapsed="false">
      <c r="B36" s="4" t="s">
        <v>744</v>
      </c>
      <c r="C36" s="70" t="n">
        <f aca="false">Quarterly!M24</f>
        <v>-1.86400000000003</v>
      </c>
      <c r="D36" s="71" t="n">
        <v>5</v>
      </c>
      <c r="E36" s="72" t="str">
        <f aca="false">IF(ABS(C36)&lt;=D36+0.000000001,"OK","CHECK")</f>
        <v>OK</v>
      </c>
      <c r="F36" s="17" t="s">
        <v>745</v>
      </c>
    </row>
    <row r="37" customFormat="false" ht="15" hidden="false" customHeight="false" outlineLevel="0" collapsed="false">
      <c r="B37" s="4" t="s">
        <v>746</v>
      </c>
      <c r="C37" s="43" t="n">
        <f aca="false">IS!J8-(IS!G8+IS!I8-IS!H8)</f>
        <v>0</v>
      </c>
      <c r="D37" s="71" t="n">
        <v>0</v>
      </c>
      <c r="E37" s="72" t="str">
        <f aca="false">IF(ABS(C37)&lt;=D37+0.000000001,"OK","CHECK")</f>
        <v>OK</v>
      </c>
      <c r="F37" s="17" t="s">
        <v>747</v>
      </c>
    </row>
    <row r="38" customFormat="false" ht="15" hidden="false" customHeight="false" outlineLevel="0" collapsed="false">
      <c r="B38" s="4" t="s">
        <v>748</v>
      </c>
      <c r="C38" s="43" t="n">
        <f aca="false">ABS('Revenue &amp; ARR build'!K14-IS!K8)+ABS('Revenue &amp; ARR build'!L14-IS!L8)+ABS('Revenue &amp; ARR build'!M14-IS!M8)+ABS('Revenue &amp; ARR build'!N14-IS!N8)+ABS('Revenue &amp; ARR build'!O14-IS!O8)</f>
        <v>0</v>
      </c>
      <c r="D38" s="71" t="n">
        <v>0</v>
      </c>
      <c r="E38" s="72" t="str">
        <f aca="false">IF(ABS(C38)&lt;=D38+0.000000001,"OK","CHECK")</f>
        <v>OK</v>
      </c>
      <c r="F38" s="17" t="s">
        <v>747</v>
      </c>
    </row>
    <row r="39" customFormat="false" ht="15" hidden="false" customHeight="false" outlineLevel="0" collapsed="false">
      <c r="B39" s="4" t="s">
        <v>749</v>
      </c>
      <c r="C39" s="43" t="n">
        <f aca="false">MIN(0,MIN(Debt!K20:O20)-MAX(Debt!K19:O19))</f>
        <v>0</v>
      </c>
      <c r="D39" s="71" t="n">
        <v>0</v>
      </c>
      <c r="E39" s="72" t="str">
        <f aca="false">IF(ABS(C39)&lt;=D39+0.000000001,"OK","CHECK")</f>
        <v>OK</v>
      </c>
      <c r="F39" s="17" t="s">
        <v>747</v>
      </c>
    </row>
    <row r="40" customFormat="false" ht="15" hidden="false" customHeight="false" outlineLevel="0" collapsed="false">
      <c r="B40" s="4" t="s">
        <v>750</v>
      </c>
      <c r="C40" s="70" t="n">
        <f aca="false">Debt!K12</f>
        <v>0</v>
      </c>
      <c r="D40" s="71" t="n">
        <v>0</v>
      </c>
      <c r="E40" s="72" t="str">
        <f aca="false">IF(ABS(C40)&lt;=D40+0.000000001,"OK","CHECK")</f>
        <v>OK</v>
      </c>
      <c r="F40" s="17" t="s">
        <v>747</v>
      </c>
    </row>
    <row r="41" customFormat="false" ht="15" hidden="false" customHeight="false" outlineLevel="0" collapsed="false">
      <c r="B41" s="4" t="s">
        <v>751</v>
      </c>
      <c r="C41" s="43" t="n">
        <f aca="false">MIN(0,MIN(Debt!K28:O28))</f>
        <v>0</v>
      </c>
      <c r="D41" s="71" t="n">
        <v>0</v>
      </c>
      <c r="E41" s="72" t="str">
        <f aca="false">IF(ABS(C41)&lt;=D41+0.000000001,"OK","CHECK")</f>
        <v>OK</v>
      </c>
      <c r="F41" s="17" t="s">
        <v>747</v>
      </c>
    </row>
    <row r="42" customFormat="false" ht="15" hidden="false" customHeight="false" outlineLevel="0" collapsed="false">
      <c r="B42" s="4" t="s">
        <v>752</v>
      </c>
      <c r="C42" s="43" t="n">
        <f aca="false">MIN(0,MIN(Debt!K29:O29))</f>
        <v>0</v>
      </c>
      <c r="D42" s="71" t="n">
        <v>0</v>
      </c>
      <c r="E42" s="72" t="str">
        <f aca="false">IF(ABS(C42)&lt;=D42+0.000000001,"OK","CHECK")</f>
        <v>OK</v>
      </c>
      <c r="F42" s="17" t="s">
        <v>747</v>
      </c>
    </row>
    <row r="43" customFormat="false" ht="15" hidden="false" customHeight="false" outlineLevel="0" collapsed="false">
      <c r="B43" s="4" t="s">
        <v>753</v>
      </c>
      <c r="C43" s="43" t="n">
        <f aca="false">MIN(0,MIN(BS!K9:BS9)-Inputs!K43)</f>
        <v>0</v>
      </c>
      <c r="D43" s="71" t="n">
        <v>0.001</v>
      </c>
      <c r="E43" s="72" t="str">
        <f aca="false">IF(ABS(C43)&lt;=D43+0.000000001,"OK","CHECK")</f>
        <v>OK</v>
      </c>
      <c r="F43" s="17" t="s">
        <v>747</v>
      </c>
    </row>
    <row r="44" customFormat="false" ht="15" hidden="false" customHeight="false" outlineLevel="0" collapsed="false">
      <c r="B44" s="4" t="s">
        <v>754</v>
      </c>
      <c r="C44" s="43" t="n">
        <f aca="false">MIN(0,MIN(BS!K21:BS21),MIN(BS!K19:BS19),MIN(BS!K18:BS18))</f>
        <v>0</v>
      </c>
      <c r="D44" s="71" t="n">
        <v>0</v>
      </c>
      <c r="E44" s="72" t="str">
        <f aca="false">IF(ABS(C44)&lt;=D44+0.000000001,"OK","CHECK")</f>
        <v>OK</v>
      </c>
      <c r="F44" s="17" t="s">
        <v>747</v>
      </c>
    </row>
    <row r="45" customFormat="false" ht="15" hidden="false" customHeight="false" outlineLevel="0" collapsed="false">
      <c r="B45" s="4" t="s">
        <v>755</v>
      </c>
      <c r="C45" s="43" t="n">
        <f aca="false">Sensitivity!F8-DCF!$D$81</f>
        <v>0</v>
      </c>
      <c r="D45" s="71" t="n">
        <v>0.005</v>
      </c>
      <c r="E45" s="72" t="str">
        <f aca="false">IF(ABS(C45)&lt;=D45+0.000000001,"OK","CHECK")</f>
        <v>OK</v>
      </c>
      <c r="F45" s="17" t="s">
        <v>747</v>
      </c>
    </row>
    <row r="46" customFormat="false" ht="15" hidden="false" customHeight="false" outlineLevel="0" collapsed="false">
      <c r="B46" s="4" t="s">
        <v>756</v>
      </c>
      <c r="C46" s="43" t="n">
        <f aca="false">Sensitivity!F18-DCF!$D$82</f>
        <v>0</v>
      </c>
      <c r="D46" s="71" t="n">
        <v>0.005</v>
      </c>
      <c r="E46" s="72" t="str">
        <f aca="false">IF(ABS(C46)&lt;=D46+0.000000001,"OK","CHECK")</f>
        <v>OK</v>
      </c>
      <c r="F46" s="17" t="s">
        <v>747</v>
      </c>
    </row>
    <row r="47" customFormat="false" ht="15" hidden="false" customHeight="false" outlineLevel="0" collapsed="false">
      <c r="B47" s="4" t="s">
        <v>757</v>
      </c>
      <c r="C47" s="43" t="n">
        <f aca="false">Sensitivity!F28-DCF!$D$81</f>
        <v>0</v>
      </c>
      <c r="D47" s="71" t="n">
        <v>0.005</v>
      </c>
      <c r="E47" s="72" t="str">
        <f aca="false">IF(ABS(C47)&lt;=D47+0.000000001,"OK","CHECK")</f>
        <v>OK</v>
      </c>
      <c r="F47" s="17" t="s">
        <v>747</v>
      </c>
    </row>
    <row r="48" customFormat="false" ht="15" hidden="false" customHeight="false" outlineLevel="0" collapsed="false">
      <c r="B48" s="4" t="s">
        <v>758</v>
      </c>
      <c r="C48" s="43" t="n">
        <f aca="false">IF(COUNT(DCF!$D$47,DCF!$D$50)&lt;2,0,MIN(0,DCF!$D$47-DCF!$D$50-0.01))</f>
        <v>0</v>
      </c>
      <c r="D48" s="71" t="n">
        <v>0</v>
      </c>
      <c r="E48" s="72" t="str">
        <f aca="false">IF(ABS(C48)&lt;=D48+0.000000001,"OK","CHECK")</f>
        <v>OK</v>
      </c>
      <c r="F48" s="17" t="s">
        <v>759</v>
      </c>
    </row>
    <row r="50" customFormat="false" ht="15" hidden="false" customHeight="false" outlineLevel="0" collapsed="false">
      <c r="B50" s="3" t="s">
        <v>760</v>
      </c>
      <c r="E50" s="73" t="str">
        <f aca="false">IF(COUNTIF(E5:E48,"OK")=44,"ALL CHECKS OK","CHECK FAILURES: "&amp;(44-COUNTIF(E5:E48,"OK")))</f>
        <v>ALL CHECKS OK</v>
      </c>
    </row>
  </sheetData>
  <conditionalFormatting sqref="E5:E50">
    <cfRule type="expression" priority="2" aboveAverage="0" equalAverage="0" bottom="0" percent="0" rank="0" text="" dxfId="0">
      <formula>ISNUMBER(SEARCH("CHECK",E5))</formula>
    </cfRule>
    <cfRule type="expression" priority="3" aboveAverage="0" equalAverage="0" bottom="0" percent="0" rank="0" text="" dxfId="1">
      <formula>ISNUMBER(SEARCH("OK",E5))</formula>
    </cfRule>
  </conditionalFormatting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IC Simulator · Tyler Technologies (TYL) · Advanced · Practice use only · 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F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78"/>
    <col collapsed="false" customWidth="true" hidden="false" outlineLevel="0" max="4" min="4" style="0" width="14"/>
    <col collapsed="false" customWidth="true" hidden="false" outlineLevel="0" max="5" min="5" style="0" width="13"/>
    <col collapsed="false" customWidth="true" hidden="false" outlineLevel="0" max="6" min="6" style="0" width="80"/>
  </cols>
  <sheetData>
    <row r="1" customFormat="false" ht="17.35" hidden="false" customHeight="false" outlineLevel="0" collapsed="false">
      <c r="B1" s="9" t="s">
        <v>761</v>
      </c>
    </row>
    <row r="2" customFormat="false" ht="15" hidden="false" customHeight="false" outlineLevel="0" collapsed="false">
      <c r="B2" s="10" t="s">
        <v>762</v>
      </c>
    </row>
    <row r="4" customFormat="false" ht="15" hidden="false" customHeight="false" outlineLevel="0" collapsed="false">
      <c r="B4" s="11" t="s">
        <v>763</v>
      </c>
      <c r="C4" s="11" t="s">
        <v>764</v>
      </c>
      <c r="D4" s="11" t="s">
        <v>765</v>
      </c>
      <c r="E4" s="11" t="s">
        <v>766</v>
      </c>
      <c r="F4" s="11" t="s">
        <v>767</v>
      </c>
    </row>
    <row r="5" customFormat="false" ht="30" hidden="false" customHeight="true" outlineLevel="0" collapsed="false">
      <c r="B5" s="3" t="n">
        <v>1</v>
      </c>
      <c r="C5" s="8" t="s">
        <v>768</v>
      </c>
      <c r="D5" s="74"/>
      <c r="E5" s="3" t="str">
        <f aca="false">IF(ISBLANK(D5),"",IF(ABS(D5-(IS!J8))&lt;=0.5,"Correct","Not yet"))</f>
        <v/>
      </c>
      <c r="F5" s="75" t="s">
        <v>769</v>
      </c>
    </row>
    <row r="6" customFormat="false" ht="30" hidden="false" customHeight="true" outlineLevel="0" collapsed="false">
      <c r="B6" s="3" t="n">
        <v>2</v>
      </c>
      <c r="C6" s="8" t="s">
        <v>770</v>
      </c>
      <c r="D6" s="76"/>
      <c r="E6" s="3" t="str">
        <f aca="false">IF(ISBLANK(D6),"",IF(ABS(D6-('Revenue &amp; ARR build'!G9/'Revenue &amp; ARR build'!F9-1))&lt;=0.0005,"Correct","Not yet"))</f>
        <v/>
      </c>
      <c r="F6" s="75" t="s">
        <v>771</v>
      </c>
    </row>
    <row r="7" customFormat="false" ht="30" hidden="false" customHeight="true" outlineLevel="0" collapsed="false">
      <c r="B7" s="3" t="n">
        <v>3</v>
      </c>
      <c r="C7" s="8" t="s">
        <v>772</v>
      </c>
      <c r="D7" s="76"/>
      <c r="E7" s="3" t="str">
        <f aca="false">IF(ISBLANK(D7),"",IF(ABS(D7-('Revenue &amp; ARR build'!G21))&lt;=0.0005,"Correct","Not yet"))</f>
        <v/>
      </c>
      <c r="F7" s="75" t="s">
        <v>773</v>
      </c>
    </row>
    <row r="8" customFormat="false" ht="30" hidden="false" customHeight="true" outlineLevel="0" collapsed="false">
      <c r="B8" s="3" t="n">
        <v>4</v>
      </c>
      <c r="C8" s="8" t="s">
        <v>774</v>
      </c>
      <c r="D8" s="74"/>
      <c r="E8" s="3" t="str">
        <f aca="false">IF(ISBLANK(D8),"",IF(ABS(D8-(Quarterly!M16))&lt;=0.5,"Correct","Not yet"))</f>
        <v/>
      </c>
      <c r="F8" s="75" t="s">
        <v>775</v>
      </c>
    </row>
    <row r="9" customFormat="false" ht="30" hidden="false" customHeight="true" outlineLevel="0" collapsed="false">
      <c r="B9" s="3" t="n">
        <v>5</v>
      </c>
      <c r="C9" s="8" t="s">
        <v>776</v>
      </c>
      <c r="D9" s="76"/>
      <c r="E9" s="3" t="str">
        <f aca="false">IF(ISBLANK(D9),"",IF(ABS(D9-('Revenue &amp; ARR build'!G29))&lt;=0.0005,"Correct","Not yet"))</f>
        <v/>
      </c>
      <c r="F9" s="75" t="s">
        <v>777</v>
      </c>
    </row>
    <row r="10" customFormat="false" ht="30" hidden="false" customHeight="true" outlineLevel="0" collapsed="false">
      <c r="B10" s="3" t="n">
        <v>6</v>
      </c>
      <c r="C10" s="8" t="s">
        <v>778</v>
      </c>
      <c r="D10" s="74"/>
      <c r="E10" s="3" t="str">
        <f aca="false">IF(ISBLANK(D10),"",IF(ABS(D10-(CF!G50))&lt;=0.5,"Correct","Not yet"))</f>
        <v/>
      </c>
      <c r="F10" s="75" t="s">
        <v>779</v>
      </c>
    </row>
    <row r="11" customFormat="false" ht="30" hidden="false" customHeight="true" outlineLevel="0" collapsed="false">
      <c r="B11" s="3" t="n">
        <v>7</v>
      </c>
      <c r="C11" s="8" t="s">
        <v>780</v>
      </c>
      <c r="D11" s="76"/>
      <c r="E11" s="3" t="str">
        <f aca="false">IF(ISBLANK(D11),"",IF(ABS(D11-(IS!G39/IS!G8))&lt;=0.0005,"Correct","Not yet"))</f>
        <v/>
      </c>
      <c r="F11" s="75" t="s">
        <v>781</v>
      </c>
    </row>
    <row r="12" customFormat="false" ht="30" hidden="false" customHeight="true" outlineLevel="0" collapsed="false">
      <c r="B12" s="3" t="n">
        <v>8</v>
      </c>
      <c r="C12" s="8" t="s">
        <v>782</v>
      </c>
      <c r="D12" s="74"/>
      <c r="E12" s="3" t="str">
        <f aca="false">IF(ISBLANK(D12),"",IF(ABS(D12-(IS!G37))&lt;=0.5,"Correct","Not yet"))</f>
        <v/>
      </c>
      <c r="F12" s="75" t="s">
        <v>783</v>
      </c>
    </row>
    <row r="13" customFormat="false" ht="30" hidden="false" customHeight="true" outlineLevel="0" collapsed="false">
      <c r="B13" s="3" t="n">
        <v>9</v>
      </c>
      <c r="C13" s="8" t="s">
        <v>784</v>
      </c>
      <c r="D13" s="77"/>
      <c r="E13" s="3" t="str">
        <f aca="false">IF(ISBLANK(D13),"",IF(ABS(D13-(1437.5/405.94))&lt;=0.005,"Correct","Not yet"))</f>
        <v/>
      </c>
      <c r="F13" s="75" t="s">
        <v>785</v>
      </c>
    </row>
    <row r="14" customFormat="false" ht="30" hidden="false" customHeight="true" outlineLevel="0" collapsed="false">
      <c r="B14" s="3" t="n">
        <v>10</v>
      </c>
      <c r="C14" s="8" t="s">
        <v>786</v>
      </c>
      <c r="D14" s="77"/>
      <c r="E14" s="3" t="str">
        <f aca="false">IF(ISBLANK(D14),"",IF(ABS(D14-((500-405.94)/500*1437.5/405.94))&lt;=0.005,"Correct","Not yet"))</f>
        <v/>
      </c>
      <c r="F14" s="75" t="s">
        <v>787</v>
      </c>
    </row>
  </sheetData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IC Simulator · Tyler Technologies (TYL) · Advanced · Practice use only ·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2026-10-12T04:51:57Z</dcterms:created>
  <dc:creator>openpyxl</dc:creator>
  <dc:description/>
  <dc:language>en-US</dc:language>
  <cp:lastModifiedBy/>
  <dcterms:modified xsi:type="dcterms:W3CDTF">2026-10-12T04:51:57Z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