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puts" sheetId="2" state="visible" r:id="rId4"/>
    <sheet name="Revenue &amp; WC build" sheetId="3" state="visible" r:id="rId5"/>
    <sheet name="IS" sheetId="4" state="visible" r:id="rId6"/>
    <sheet name="BS" sheetId="5" state="visible" r:id="rId7"/>
    <sheet name="CF" sheetId="6" state="visible" r:id="rId8"/>
    <sheet name="Debt" sheetId="7" state="visible" r:id="rId9"/>
    <sheet name="DCF" sheetId="8" state="visible" r:id="rId10"/>
    <sheet name="Comps" sheetId="9" state="visible" r:id="rId11"/>
    <sheet name="Sensitivity" sheetId="10" state="visible" r:id="rId12"/>
    <sheet name="Football field" sheetId="11" state="visible" r:id="rId13"/>
    <sheet name="Quarterly" sheetId="12" state="visible" r:id="rId14"/>
    <sheet name="Checks" sheetId="13" state="visible" r:id="rId15"/>
    <sheet name="Practice" sheetId="14" state="visible" r:id="rId16"/>
  </sheets>
  <definedNames>
    <definedName function="false" hidden="false" localSheetId="4" name="_xlnm.Print_Area" vbProcedure="false">BS!$A$1:$P$54</definedName>
    <definedName function="false" hidden="false" localSheetId="5" name="_xlnm.Print_Area" vbProcedure="false">CF!$A$1:$P$53</definedName>
    <definedName function="false" hidden="false" localSheetId="12" name="_xlnm.Print_Area" vbProcedure="false">Checks!$A$1:$F$45</definedName>
    <definedName function="false" hidden="false" localSheetId="8" name="_xlnm.Print_Area" vbProcedure="false">Comps!$A$1:$X$56</definedName>
    <definedName function="false" hidden="false" localSheetId="0" name="_xlnm.Print_Area" vbProcedure="false">Cover!$A$1:$C$40</definedName>
    <definedName function="false" hidden="false" localSheetId="7" name="_xlnm.Print_Area" vbProcedure="false">DCF!$A$1:$P$85</definedName>
    <definedName function="false" hidden="false" localSheetId="6" name="_xlnm.Print_Area" vbProcedure="false">Debt!$A$1:$P$23</definedName>
    <definedName function="false" hidden="false" localSheetId="10" name="_xlnm.Print_Area" vbProcedure="false">'Football field'!$A$1:$G$14</definedName>
    <definedName function="false" hidden="false" localSheetId="1" name="_xlnm.Print_Area" vbProcedure="false">Inputs!$A$1:$P$63</definedName>
    <definedName function="false" hidden="false" localSheetId="3" name="_xlnm.Print_Area" vbProcedure="false">IS!$A$1:$P$46</definedName>
    <definedName function="false" hidden="false" localSheetId="13" name="_xlnm.Print_Area" vbProcedure="false">Practice!$A$1:$F$14</definedName>
    <definedName function="false" hidden="false" localSheetId="11" name="_xlnm.Print_Area" vbProcedure="false">Quarterly!$A$1:$P$19</definedName>
    <definedName function="false" hidden="false" localSheetId="2" name="_xlnm.Print_Area" vbProcedure="false">'Revenue &amp; WC build'!$A$1:$P$27</definedName>
    <definedName function="false" hidden="false" localSheetId="9" name="_xlnm.Print_Area" vbProcedure="false">Sensitivity!$A$1:$J$32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<sst xmlns="http://schemas.openxmlformats.org/spreadsheetml/2006/main" count="1170" uniqueCount="688">
  <si>
    <t xml:space="preserve">Watsco (NYSE: WSO)</t>
  </si>
  <si>
    <t xml:space="preserve">Student model template — build the yellow cells</t>
  </si>
  <si>
    <t xml:space="preserve">Case</t>
  </si>
  <si>
    <t xml:space="preserve">IC Simulator investment banking case: Watsco — earnings-reset re-rating debate (writing + modeling)</t>
  </si>
  <si>
    <t xml:space="preserve">Case date</t>
  </si>
  <si>
    <t xml:space="preserve">09 October 2026 (market data as of close 09 Oct 2026)</t>
  </si>
  <si>
    <t xml:space="preserve">Version</t>
  </si>
  <si>
    <t xml:space="preserve">v1.0 · 12 Oct 2026</t>
  </si>
  <si>
    <t xml:space="preserve">Level</t>
  </si>
  <si>
    <t xml:space="preserve">Advanced (take-home, 1–2 days) · uncalibrated</t>
  </si>
  <si>
    <t xml:space="preserve">Use</t>
  </si>
  <si>
    <t xml:space="preserve">Practice use only. Built from public SEC filings; not investment advice.</t>
  </si>
  <si>
    <t xml:space="preserve">Units</t>
  </si>
  <si>
    <t xml:space="preserve">$ in millions unless stated; shares in millions; per-share in $; calendar fiscal years.</t>
  </si>
  <si>
    <t xml:space="preserve">Master check</t>
  </si>
  <si>
    <t xml:space="preserve">Tab map</t>
  </si>
  <si>
    <t xml:space="preserve">Cover</t>
  </si>
  <si>
    <t xml:space="preserve">This page: case identity, master check, tab map and conventions.</t>
  </si>
  <si>
    <t xml:space="preserve">Inputs</t>
  </si>
  <si>
    <t xml:space="preserve">Every forecast driver (blue) with history alongside and a dated source or "Judgment" rationale; market and valuation inputs (single values, column D), including the market-value NCI share.</t>
  </si>
  <si>
    <t xml:space="preserve">Revenue &amp; WC build</t>
  </si>
  <si>
    <t xml:space="preserve">Revenue = prior year × (1 + same-store growth) + acquired revenue; DSO / DIO / DPO, cash conversion cycle, trade working capital and June seasonality.</t>
  </si>
  <si>
    <t xml:space="preserve">IS</t>
  </si>
  <si>
    <t xml:space="preserve">Income statement FY22A–FY25A, 6M25A, 6M26A, LTM Jun-26 (formula) and FY26E–FY30E; two-class EPS; payout; EBITDA; reconciliation to filed totals.</t>
  </si>
  <si>
    <t xml:space="preserve">BS</t>
  </si>
  <si>
    <t xml:space="preserve">Balance sheet (incl. Jun-25 to show seasonality) with roll-forwards (PP&amp;E, goodwill, RSI investment, equity, Carrier NCI) and balance check; reconciliation.</t>
  </si>
  <si>
    <t xml:space="preserve">CF</t>
  </si>
  <si>
    <t xml:space="preserve">Cash flow statement as filed; forecast derived from balance-sheet movements; payout coverage; reconciliation.</t>
  </si>
  <si>
    <t xml:space="preserve">Debt</t>
  </si>
  <si>
    <t xml:space="preserve">Seasonal $600M/$500M revolver (min-cash draw / sweep, interest on opening balance), interest income, credit statistics.</t>
  </si>
  <si>
    <t xml:space="preserve">DCF</t>
  </si>
  <si>
    <t xml:space="preserve">UFCF, WACC (CAPM, peer beta relevered), mid-period discounting from the 30 Jun 2026 balance sheet, Gordon and exit-multiple terminal values, EV-to-equity bridge with Carrier NCI at market value, roll-forward to 9 Oct 2026.</t>
  </si>
  <si>
    <t xml:space="preserve">Comps</t>
  </si>
  <si>
    <t xml:space="preserve">Five distributors: price, shares, EV, LTM build (FY + YTD − prior YTD; Ferguson annualised and flagged), multiples, betas.</t>
  </si>
  <si>
    <t xml:space="preserve">Sensitivity</t>
  </si>
  <si>
    <t xml:space="preserve">Three live-formula 2-D grids: WACC × g, WACC × exit multiple, revenue growth Δ × EBITDA margin Δ.</t>
  </si>
  <si>
    <t xml:space="preserve">Football field</t>
  </si>
  <si>
    <t xml:space="preserve">Valuation range summary and chart (52-week range, comps, DCF).</t>
  </si>
  <si>
    <t xml:space="preserve">Quarterly</t>
  </si>
  <si>
    <t xml:space="preserve">Ten quarters (1Q24–2Q26), Q4 derived = FY − 9M; gross-margin change y/y; seasonality.</t>
  </si>
  <si>
    <t xml:space="preserve">Checks</t>
  </si>
  <si>
    <t xml:space="preserve">Every tie and internal check with status; master check feeds the Cover.</t>
  </si>
  <si>
    <t xml:space="preserve">Practice</t>
  </si>
  <si>
    <t xml:space="preserve">Ten warm-up drills on the filed history and valuation mechanics with instant Correct / Not yet feedback (no valuation outputs).</t>
  </si>
  <si>
    <t xml:space="preserve">Read me: conventions</t>
  </si>
  <si>
    <t xml:space="preserve">Colour code</t>
  </si>
  <si>
    <t xml:space="preserve">Blue font = hard-coded input or filed figure; black = formula; green = direct link to another tab; yellow fill = key output (answer model) or a cell you must build (student template); shaded cell in sensitivity grids = base case.</t>
  </si>
  <si>
    <t xml:space="preserve">Sign convention</t>
  </si>
  <si>
    <t xml:space="preserve">Income-statement costs are stored positive and subtracted. Interest is shown as income positive (filed as "interest (income) expense"). Cash-flow statement as filed: inflows positive, outflows negative.</t>
  </si>
  <si>
    <t xml:space="preserve">Periods</t>
  </si>
  <si>
    <t xml:space="preserve">FY = calendar fiscal year (A = actual from 10-K, E = estimate). 6M = six months to 30 June (10-Q). LTM Jun-26 = FY25A + 6M26A − 6M25A, always a formula. Row 5 = period-end date; row 6 = weeks (52 for every full year: no 53-week issue).</t>
  </si>
  <si>
    <t xml:space="preserve">$ in millions (filed $ thousands ÷ 1,000, unrounded so ties are exact), shares in millions, per-share in $.</t>
  </si>
  <si>
    <t xml:space="preserve">Not available</t>
  </si>
  <si>
    <t xml:space="preserve">Blank cell + note in the Source column: n/a = not applicable; n.d. = not disclosed. No text in numeric cells.</t>
  </si>
  <si>
    <t xml:space="preserve">Internal builds must equal exactly 0.00. Ties to SEC filings pass if |Δ| ≤ 0.5 × unit ($0.5M). See Checks tab.</t>
  </si>
  <si>
    <t xml:space="preserve">Definitions</t>
  </si>
  <si>
    <t xml:space="preserve">EBITDA = operating income + D&amp;A (unadjusted, after rent; includes RSI equity income, which Watsco reports inside operating income). UFCF = EBIT × (1 − t) + D&amp;A − capex − acquisitions ± working capital. Shares for value per share = all Common + Class B outstanding incl. unvested restricted stock (they receive dividends).</t>
  </si>
  <si>
    <t xml:space="preserve">Non-controlling interest</t>
  </si>
  <si>
    <t xml:space="preserve">Carrier owns 20% of Carrier Enterprise I/II and TEC and 40% of CE III (Canada). The model forecasts 100% of the consolidated JVs and deducts Carrier's share of equity value pro rata at market value (DCF tab), not at book.</t>
  </si>
  <si>
    <t xml:space="preserve">Circularity</t>
  </si>
  <si>
    <t xml:space="preserve">None. Revolver interest is charged on the opening balance and interest income on opening cash.</t>
  </si>
  <si>
    <t xml:space="preserve">Sources</t>
  </si>
  <si>
    <t xml:space="preserve">10-K FY2025 incl. Exhibit 13 (filed 27 Feb 2026, acc. 0001193125-26-082486); 10-K FY2024 (0001193125-25-041730); 10-K FY2023 (0001193125-24-044609); 10-K FY2022 (0001193125-23-048758); 10-Q 2Q26 (0001193125-26-340204); 10-Q 2Q25 (0001193125-25-176973); 8-Ks 29 Jul 2026 (Q2 results) and 17 Sep 2026 (Granite agreement of 12 Sep). Full list with URLs in WSO-sources.md.</t>
  </si>
  <si>
    <t xml:space="preserve">Student instructions</t>
  </si>
  <si>
    <t xml:space="preserve">Build every yellow cell. Do not overwrite blue historical data. Set your own drivers on Inputs (columns K–O) with a rationale in column P. When the Checks tab shows ALL CHECKS OK and the DCF tab produces a value, write your memo. Compare against the answer model only after submitting.</t>
  </si>
  <si>
    <t xml:space="preserve">Watsco (WSO) — Forecast assumptions and market inputs</t>
  </si>
  <si>
    <t xml:space="preserve">(Blue = input; black = formula; history alongside each driver. Calendar fiscal years; "weeks" row = 52 for every full year, so no 53-week normalisation is needed.)</t>
  </si>
  <si>
    <t xml:space="preserve">Period</t>
  </si>
  <si>
    <t xml:space="preserve">FY22A</t>
  </si>
  <si>
    <t xml:space="preserve">FY23A</t>
  </si>
  <si>
    <t xml:space="preserve">FY24A</t>
  </si>
  <si>
    <t xml:space="preserve">FY25A</t>
  </si>
  <si>
    <t xml:space="preserve">6M25A</t>
  </si>
  <si>
    <t xml:space="preserve">6M26A</t>
  </si>
  <si>
    <t xml:space="preserve">LTM Jun-26</t>
  </si>
  <si>
    <t xml:space="preserve">FY26E</t>
  </si>
  <si>
    <t xml:space="preserve">FY27E</t>
  </si>
  <si>
    <t xml:space="preserve">FY28E</t>
  </si>
  <si>
    <t xml:space="preserve">FY29E</t>
  </si>
  <si>
    <t xml:space="preserve">FY30E</t>
  </si>
  <si>
    <t xml:space="preserve">Source / note</t>
  </si>
  <si>
    <t xml:space="preserve">Period end date</t>
  </si>
  <si>
    <t xml:space="preserve">Weeks in period</t>
  </si>
  <si>
    <t xml:space="preserve">Revenue</t>
  </si>
  <si>
    <t xml:space="preserve">Organic (same-store) revenue growth</t>
  </si>
  <si>
    <t xml:space="preserve">%</t>
  </si>
  <si>
    <t xml:space="preserve">History: same-store sales FY25 −5%, 1H26 0%, 2Q26 +1% (10-K FY25 Ex.13; 10-Q 2Q26). FY26E +1% (2H25 base is easy after the A2L pre-buy unwind). FY27E–FY30E recovery: replacement demand + ~3% price, fading — Judgment.</t>
  </si>
  <si>
    <t xml:space="preserve">Revenue added by acquisitions (incremental to prior year)</t>
  </si>
  <si>
    <t xml:space="preserve">$M</t>
  </si>
  <si>
    <t xml:space="preserve">Jackson Supply (closed 1 Jun 2026, ~$230M annual sales): 7 months in FY26E (~$134M) and 5 more months in FY27E (~$96M), plus 2025 bolt-ons annualising (1H26: $38.3M from acquired locations, 10-Q). Granite Group (pending, 8-K 12 Sep 2026) excluded until it closes — Judgment.</t>
  </si>
  <si>
    <t xml:space="preserve">Margins (% of revenue)</t>
  </si>
  <si>
    <t xml:space="preserve">Gross margin</t>
  </si>
  <si>
    <t xml:space="preserve">FY22 27.9%, FY23 27.3%, FY24 26.8%, FY25 28.0% (OEM price pass-through); 1H26 27.7%, 2Q26 27.5% (−180 bp y/y). LTM 27.5%. Held at 27.5% — Judgment (2026 OEM pricing "more consistent with historical levels").</t>
  </si>
  <si>
    <t xml:space="preserve">SG&amp;A</t>
  </si>
  <si>
    <t xml:space="preserve">FY22 16.8% → FY25 18.5% (deleverage on −5% same-store sales); 1H26 18.5%. Gradual operating leverage as volumes recover — Judgment.</t>
  </si>
  <si>
    <t xml:space="preserve">Equity income (Russell Sigler, 38.4%) growth</t>
  </si>
  <si>
    <t xml:space="preserve">FY23 +15.5%, FY24 +16.5%, FY25 −9.0%; 1H26 +11.0%. Judgment: +4%.</t>
  </si>
  <si>
    <t xml:space="preserve">D&amp;A</t>
  </si>
  <si>
    <t xml:space="preserve">FY22 0.44% → FY25 0.60%; 1H26 0.60%.</t>
  </si>
  <si>
    <t xml:space="preserve">Effective tax rate on consolidated pre-tax income</t>
  </si>
  <si>
    <t xml:space="preserve">FY24 20.8%, FY25 20.3%, 1H26 20.7%. Lower than the 23.0% Watsco reports because the Carrier JVs are partnerships: Carrier is taxed on its share itself. Judgment: 20.5%.</t>
  </si>
  <si>
    <t xml:space="preserve">NCI share of net income incl. NCI (Carrier JV minority)</t>
  </si>
  <si>
    <t xml:space="preserve">FY22 14.6%, FY23 15.4%, FY24 15.6%, FY25 15.4%, 1H26 14.7% (Carrier owns 20% of CE I/CE II/TEC and 40% of CE III). Judgment: 15.0%.</t>
  </si>
  <si>
    <t xml:space="preserve">Earnings allocated to participating restricted shares</t>
  </si>
  <si>
    <t xml:space="preserve">Two-class method: FY24 7.0%, FY25 6.6%, 1H26 7.0% of net income attributable to Watsco (diluted allocation, EPS note).</t>
  </si>
  <si>
    <t xml:space="preserve">Interest income yield on opening cash and short-term investments</t>
  </si>
  <si>
    <t xml:space="preserve">Judgment. FY25 $17.3M on average ~$760M (2.3%); 1H26 annualised ~3.3%. Fed funds 3.75–4.00% (16 Sep 2026).</t>
  </si>
  <si>
    <t xml:space="preserve">Working capital (days on period-end balances; distribution is a working-capital business)</t>
  </si>
  <si>
    <t xml:space="preserve">Days sales outstanding (AR ÷ revenue × 365)</t>
  </si>
  <si>
    <t xml:space="preserve">days</t>
  </si>
  <si>
    <t xml:space="preserve">FY22 37.5, FY23 40.0, FY24 42.1, FY25 40.1. Judgment: 40.5.</t>
  </si>
  <si>
    <t xml:space="preserve">Days inventory outstanding (inventory ÷ COGS × 365)</t>
  </si>
  <si>
    <t xml:space="preserve">FY22 95.4, FY23 92.9, FY24 90.7, FY25 97.1 (A2L transition stock). Judgment: 95–96.</t>
  </si>
  <si>
    <t xml:space="preserve">Days payables outstanding (AP ÷ COGS × 365)</t>
  </si>
  <si>
    <t xml:space="preserve">FY22 31.7, FY23 25.5, FY24 32.1, FY25 24.6 (year-end timing of OEM payments). Judgment: 27.</t>
  </si>
  <si>
    <t xml:space="preserve">Accrued expenses and other current liabilities (% of revenue)</t>
  </si>
  <si>
    <t xml:space="preserve">FY22 4.2%, FY23 3.3%, FY24 5.0%, FY25 3.5%. Judgment: 3.8%.</t>
  </si>
  <si>
    <t xml:space="preserve">Other current assets (% of revenue)</t>
  </si>
  <si>
    <t xml:space="preserve">FY25 0.53%.</t>
  </si>
  <si>
    <t xml:space="preserve">Operating-lease ROU assets (% of revenue)</t>
  </si>
  <si>
    <t xml:space="preserve">FY24 5.5%, FY25 6.3%; Jun-26 $509M after Jackson (≈6.9% of LTM revenue). Judgment: 6.7%.</t>
  </si>
  <si>
    <t xml:space="preserve">Lease liabilities (current + non-current operating) ÷ ROU assets</t>
  </si>
  <si>
    <t xml:space="preserve">x</t>
  </si>
  <si>
    <t xml:space="preserve">FY24 1.03, FY25 1.03 (current line includes finance leases, ~$5M).</t>
  </si>
  <si>
    <t xml:space="preserve">Current share of lease liabilities</t>
  </si>
  <si>
    <t xml:space="preserve">FY25 25.0%.</t>
  </si>
  <si>
    <t xml:space="preserve">Capital spending and acquisitions</t>
  </si>
  <si>
    <t xml:space="preserve">Capital expenditures (% of revenue)</t>
  </si>
  <si>
    <t xml:space="preserve">FY22–FY25 0.39–0.49%; 1H26 0.44%. Asset-light (leased branches). Judgment: 0.50%.</t>
  </si>
  <si>
    <t xml:space="preserve">Acquisitions — cash paid, net of cash acquired</t>
  </si>
  <si>
    <t xml:space="preserve">FY26E = 1H26 actual (net cash acquired with Jackson exceeded cash paid: +$7.7M inflow). Jackson was paid in stock. No further deals in the base case — Judgment.</t>
  </si>
  <si>
    <t xml:space="preserve">Acquisitions — paid in Watsco shares (non-cash)</t>
  </si>
  <si>
    <t xml:space="preserve">Jackson: 517,884 common shares valued at $186.2M (10-Q 2Q26). Forecast simplification: consideration added to goodwill; acquired working capital ($63.8M) is captured by the WC drivers.</t>
  </si>
  <si>
    <t xml:space="preserve">Capital returns and share count</t>
  </si>
  <si>
    <t xml:space="preserve">Dividends per share paid</t>
  </si>
  <si>
    <t xml:space="preserve">$/sh</t>
  </si>
  <si>
    <t xml:space="preserve">FY26E: $3.00 (Jan) + 3 × $3.30 after the April 2026 increase to a $13.20 annual rate. FY27E held at $13.20 (FY26E payout &gt;100% of EPS), then +3% p.a. — Judgment.</t>
  </si>
  <si>
    <t xml:space="preserve">Shares outstanding receiving dividends (Common + Class B, incl. restricted)</t>
  </si>
  <si>
    <t xml:space="preserve">M</t>
  </si>
  <si>
    <t xml:space="preserve">Hist = dividends paid ÷ DPS. 4 Aug 2026 cover: 35,588,756 common + 5,663,438 Class B = 41.25M. +0.25M p.a. (DRIP, employee plans) — Judgment.</t>
  </si>
  <si>
    <t xml:space="preserve">Weighted average diluted shares for EPS (excl. participating restricted)</t>
  </si>
  <si>
    <t xml:space="preserve">1H26 38.08M; Jackson 0.52M shares from 1 Jun 2026; +0.25M p.a. thereafter — Judgment.</t>
  </si>
  <si>
    <t xml:space="preserve">Share-based compensation (% of revenue)</t>
  </si>
  <si>
    <t xml:space="preserve">FY25 0.49%, 1H26 0.46%.</t>
  </si>
  <si>
    <t xml:space="preserve">Non-cash 401(k) contribution</t>
  </si>
  <si>
    <t xml:space="preserve">FY25 $8.7M; 1H26 $9.3M (paid annually). +2% p.a. — Judgment.</t>
  </si>
  <si>
    <t xml:space="preserve">Cash from DRIP, employee stock plans and ATM sales</t>
  </si>
  <si>
    <t xml:space="preserve">FY25 $46.5M (no ATM sales); FY24 $326.1M incl. $281.8M ATM. Judgment: $45M p.a., no ATM.</t>
  </si>
  <si>
    <t xml:space="preserve">Tax withholding on vested restricted stock</t>
  </si>
  <si>
    <t xml:space="preserve">FY25 $3.7M, FY24 $39.7M. Judgment: $5M.</t>
  </si>
  <si>
    <t xml:space="preserve">Distributions to Carrier (NCI) as % of NCI income</t>
  </si>
  <si>
    <t xml:space="preserve">FY22–FY25 cumulative distributions $273M vs NCI income $390M (70%); timing lumpy (none in FY24, two years in FY25). Judgment: 70%.</t>
  </si>
  <si>
    <t xml:space="preserve">Minimum cash balance</t>
  </si>
  <si>
    <t xml:space="preserve">Judgment. Watsco ran with $147M–$526M of year-end cash FY22–FY25; 1H working-capital build is funded from cash and the revolver.</t>
  </si>
  <si>
    <t xml:space="preserve">Base rate (Term SOFR)</t>
  </si>
  <si>
    <t xml:space="preserve">Judgment anchored on fed funds target 3.75–4.00% (FOMC, 16 Sep 2026).</t>
  </si>
  <si>
    <t xml:space="preserve">Revolver margin (incl. 0.10% SOFR adjustment)</t>
  </si>
  <si>
    <t xml:space="preserve">Credit agreement: SOFR + 0.10% + 1.00–1.375% by leverage (10-K FY25 note). Lowest step at ~0x leverage.</t>
  </si>
  <si>
    <t xml:space="preserve">Market data and valuation inputs (single values in column D)</t>
  </si>
  <si>
    <t xml:space="preserve">WSO share price (close)</t>
  </si>
  <si>
    <t xml:space="preserve">Yahoo Finance chart API, close 9 Oct 2026 (NYSE). https://finance.yahoo.com/quote/WSO</t>
  </si>
  <si>
    <t xml:space="preserve">52-week high</t>
  </si>
  <si>
    <t xml:space="preserve">Yahoo Finance, 12 months to 9 Oct 2026.</t>
  </si>
  <si>
    <t xml:space="preserve">52-week low</t>
  </si>
  <si>
    <t xml:space="preserve">Shares outstanding: Common + Class B (incl. unvested restricted)</t>
  </si>
  <si>
    <t xml:space="preserve">10-Q 2Q26 cover, 4 Aug 2026: 35,588,756 common + 5,663,438 Class B. Restricted shares are outstanding and receive dividends, so they count in value per share.</t>
  </si>
  <si>
    <t xml:space="preserve">Dilutive securities (options, treasury method)</t>
  </si>
  <si>
    <t xml:space="preserve">10-Q 2Q26: diluted 38,079,266 − basic 38,048,185 weighted shares (6M26).</t>
  </si>
  <si>
    <t xml:space="preserve">Cash + short-term investments (30 Jun 2026)</t>
  </si>
  <si>
    <t xml:space="preserve">10-Q 2Q26: cash $364.2M + short-term investments (Treasury bills) $100.0M.</t>
  </si>
  <si>
    <t xml:space="preserve">Debt: finance leases (30 Jun 2026); revolver undrawn</t>
  </si>
  <si>
    <t xml:space="preserve">Finance-lease liabilities: non-current $9.068M (10-Q 2Q26) + current ~$4.893M (FY25 10-K: current lease liabilities $117.153M − current operating $112.260M; Jun-26 current split n.d., FY25 used). Operating leases excluded.</t>
  </si>
  <si>
    <t xml:space="preserve">Other claims at book (NCI is valued at market in the line below)</t>
  </si>
  <si>
    <t xml:space="preserve">Carrier's NCI ($478.8M book at 30 Jun 2026) is NOT deducted at book; it is deducted pro rata at market value via the parent-share factor.</t>
  </si>
  <si>
    <t xml:space="preserve">NCI share of consolidated equity value (market basis)</t>
  </si>
  <si>
    <t xml:space="preserve">Equals the FY26E NCI share of net income (Inputs). Carrier owns ~15% of the consolidated earnings stream, so it owns ~15% of the consolidated equity value — far more than its $479M book NCI.</t>
  </si>
  <si>
    <t xml:space="preserve">Dividend per share paid between 30 Jun and 9 Oct 2026</t>
  </si>
  <si>
    <t xml:space="preserve">$3.30 paid 31 Jul 2026 (Watsco dividend history; 10-Q 2Q26 subsequent events).</t>
  </si>
  <si>
    <t xml:space="preserve">Risk-free rate: 10-year US Treasury (CMT)</t>
  </si>
  <si>
    <t xml:space="preserve">U.S. Treasury Daily Par Yield Curve, 9 Oct 2026: 10-yr 5.24% (20-yr 5.65%). home.treasury.gov</t>
  </si>
  <si>
    <t xml:space="preserve">Equity risk premium</t>
  </si>
  <si>
    <t xml:space="preserve">Damodaran implied ERP 4.20% on 1 Oct 2026, estimated over the 10-yr Treasury (same pairing used here). Cross-check: Kroll recommended 5.0% (2 Sep 2026) with the 20-yr (5.65%).</t>
  </si>
  <si>
    <t xml:space="preserve">Pre-tax cost of debt</t>
  </si>
  <si>
    <t xml:space="preserve">Base rate 3.90% + 1.10% revolver margin; debt is &lt;0.2% of capital.</t>
  </si>
  <si>
    <t xml:space="preserve">Marginal tax rate (for unlevering betas and tax shield)</t>
  </si>
  <si>
    <t xml:space="preserve">Judgment: 21% federal + ~4% state, net.</t>
  </si>
  <si>
    <t xml:space="preserve">Terminal growth rate</t>
  </si>
  <si>
    <t xml:space="preserve">Your judgment: enter a value and give the rationale (and a dated source, if any) in your memo.</t>
  </si>
  <si>
    <t xml:space="preserve">Exit multiple (EV / EBITDA, terminal year)</t>
  </si>
  <si>
    <t xml:space="preserve">Fed funds target range (context)</t>
  </si>
  <si>
    <t xml:space="preserve">FOMC statement 16 Sep 2026: raised 25 bp to 3.75–4.00% (upper bound shown).</t>
  </si>
  <si>
    <t xml:space="preserve">Watsco (WSO) — Revenue and working-capital build</t>
  </si>
  <si>
    <t xml:space="preserve">($ in millions; revenue = prior year × (1 + same-store growth) + acquired revenue; working capital on days)</t>
  </si>
  <si>
    <t xml:space="preserve">Revenue build</t>
  </si>
  <si>
    <t xml:space="preserve">Prior-year revenue</t>
  </si>
  <si>
    <t xml:space="preserve">(+) Organic / same-store growth</t>
  </si>
  <si>
    <t xml:space="preserve">(+) Revenue added by acquisitions</t>
  </si>
  <si>
    <t xml:space="preserve">  Growth</t>
  </si>
  <si>
    <t xml:space="preserve">Memo: reported KPIs (not used in formulas)</t>
  </si>
  <si>
    <t xml:space="preserve">Same-store sales growth</t>
  </si>
  <si>
    <t xml:space="preserve">10-K FY25 Ex.13 (FY25: $7,179.8M vs $7,597.0M); 10-Q 2Q26 (1H26 0%; 2Q26 +1%).</t>
  </si>
  <si>
    <t xml:space="preserve">Locations, period end</t>
  </si>
  <si>
    <t xml:space="preserve">units</t>
  </si>
  <si>
    <t xml:space="preserve">10-K FY25 (695); 10-Q 2Q26 (723, incl. 25 Jackson branches).</t>
  </si>
  <si>
    <t xml:space="preserve">Mix: HVAC equipment</t>
  </si>
  <si>
    <t xml:space="preserve">10-K FY25: HVAC equipment 67%, other HVAC products 29%, commercial refrigeration 4% of revenue.</t>
  </si>
  <si>
    <t xml:space="preserve">Working capital (period-end balances)</t>
  </si>
  <si>
    <t xml:space="preserve">DSO (AR ÷ revenue × 365)</t>
  </si>
  <si>
    <t xml:space="preserve">Jun-26 column on LTM revenue: the June balance is seasonally high.</t>
  </si>
  <si>
    <t xml:space="preserve">DIO (inventory ÷ COGS × 365)</t>
  </si>
  <si>
    <t xml:space="preserve">DPO (AP ÷ COGS × 365)</t>
  </si>
  <si>
    <t xml:space="preserve">Cash conversion cycle (DSO + DIO − DPO)</t>
  </si>
  <si>
    <t xml:space="preserve">Trade working capital (AR + inventory + other CA − AP − accrued)</t>
  </si>
  <si>
    <t xml:space="preserve">  % of revenue (LTM for Jun columns)</t>
  </si>
  <si>
    <t xml:space="preserve">Seasonality: June inventory vs prior December</t>
  </si>
  <si>
    <t xml:space="preserve">Inventory is built ahead of the cooling season; 1H operating cash flow is negative (1H25 −$185M, 1H26 −$21M).</t>
  </si>
  <si>
    <t xml:space="preserve">Watsco (WSO) — Income statement</t>
  </si>
  <si>
    <t xml:space="preserve">($ in millions except per share; calendar fiscal years; costs stored positive and subtracted)</t>
  </si>
  <si>
    <t xml:space="preserve">Revenues</t>
  </si>
  <si>
    <t xml:space="preserve">10-K FY25 Exhibit 13 (filed 27 Feb 2026), FY24 (28 Feb 2025), FY23 (23 Feb 2024); 10-Q 2Q26 (filed 7 Aug 2026), 10-Q 2Q25</t>
  </si>
  <si>
    <t xml:space="preserve">Cost of sales</t>
  </si>
  <si>
    <t xml:space="preserve">Gross profit</t>
  </si>
  <si>
    <t xml:space="preserve">  Gross margin</t>
  </si>
  <si>
    <t xml:space="preserve">Selling, general and administrative expenses</t>
  </si>
  <si>
    <t xml:space="preserve">Includes D&amp;A (Watsco does not report D&amp;A as a separate expense line).</t>
  </si>
  <si>
    <t xml:space="preserve">Other income (equity income from Russell Sigler, 38.4%)</t>
  </si>
  <si>
    <t xml:space="preserve">Reported inside operating income. CE I owns 38.4% of RSI (~$1.2bn sales); equity method.</t>
  </si>
  <si>
    <t xml:space="preserve">Operating income (EBIT)</t>
  </si>
  <si>
    <t xml:space="preserve">  Operating margin</t>
  </si>
  <si>
    <t xml:space="preserve">Interest income (expense), net</t>
  </si>
  <si>
    <t xml:space="preserve">Filed as "interest (income) expense, net"; sign flipped here so income is positive.</t>
  </si>
  <si>
    <t xml:space="preserve">Income before income taxes</t>
  </si>
  <si>
    <t xml:space="preserve">Income taxes</t>
  </si>
  <si>
    <t xml:space="preserve">Net income (incl. NCI)</t>
  </si>
  <si>
    <t xml:space="preserve">Less: net income attributable to non-controlling interest (Carrier)</t>
  </si>
  <si>
    <t xml:space="preserve">Net income attributable to Watsco</t>
  </si>
  <si>
    <t xml:space="preserve">Per share (two-class method)</t>
  </si>
  <si>
    <t xml:space="preserve">Less: earnings allocated to participating restricted stock (diluted)</t>
  </si>
  <si>
    <t xml:space="preserve">EPS note, 10-K/10-Q: unvested restricted shares receive dividends, so earnings are allocated to them.</t>
  </si>
  <si>
    <t xml:space="preserve">Earnings allocated to common and Class B shares (diluted)</t>
  </si>
  <si>
    <t xml:space="preserve">Weighted average basic shares (excl. restricted)</t>
  </si>
  <si>
    <t xml:space="preserve">EPS note. Excludes the ~2.7M unvested restricted shares that ARE outstanding (cover count).</t>
  </si>
  <si>
    <t xml:space="preserve">Weighted average diluted shares</t>
  </si>
  <si>
    <t xml:space="preserve">Diluted EPS</t>
  </si>
  <si>
    <t xml:space="preserve">Computed; reconciled to reported below. LTM = sum of periods.</t>
  </si>
  <si>
    <t xml:space="preserve">Dividends per share (paid)</t>
  </si>
  <si>
    <t xml:space="preserve">10-K/10-Q equity notes. Common and Class B receive the same dividend.</t>
  </si>
  <si>
    <t xml:space="preserve">  Dividend payout (DPS ÷ diluted EPS)</t>
  </si>
  <si>
    <t xml:space="preserve">Non-GAAP</t>
  </si>
  <si>
    <t xml:space="preserve">Memo: depreciation and amortization (from CF statement)</t>
  </si>
  <si>
    <t xml:space="preserve">EBITDA (operating income + D&amp;A)</t>
  </si>
  <si>
    <t xml:space="preserve">Unadjusted, after operating-lease rent; includes RSI equity income (operating, HVAC distribution). Same definition for peers.</t>
  </si>
  <si>
    <t xml:space="preserve">  EBITDA margin</t>
  </si>
  <si>
    <t xml:space="preserve">Reconciliation to filed totals (Model / Reported / Delta; pass if |Δ| ≤ $0.5M or $0.005/sh)</t>
  </si>
  <si>
    <t xml:space="preserve">Reported: Gross profit</t>
  </si>
  <si>
    <t xml:space="preserve">  Delta (model − reported)</t>
  </si>
  <si>
    <t xml:space="preserve">Reported: Operating income</t>
  </si>
  <si>
    <t xml:space="preserve">Reported: Income before income taxes</t>
  </si>
  <si>
    <t xml:space="preserve">Reported: Net income attributable to Watsco</t>
  </si>
  <si>
    <t xml:space="preserve">Reported: diluted EPS</t>
  </si>
  <si>
    <t xml:space="preserve">Watsco (WSO) — Balance sheet</t>
  </si>
  <si>
    <t xml:space="preserve">($ in millions; period-end. The Jun-25 column is shown to expose seasonality: inventory and payables peak in June.)</t>
  </si>
  <si>
    <t xml:space="preserve">Assets</t>
  </si>
  <si>
    <t xml:space="preserve">Cash and cash equivalents</t>
  </si>
  <si>
    <t xml:space="preserve">10-K FY25 Exhibit 13 (filed 27 Feb 2026), FY24 (28 Feb 2025), FY23 (23 Feb 2024); 10-Q 2Q26 (filed 7 Aug 2026), 10-Q 2Q25. Forecast: ending cash from the CF statement.</t>
  </si>
  <si>
    <t xml:space="preserve">Short-term cash investments (Treasury bills)</t>
  </si>
  <si>
    <t xml:space="preserve">Forecast: folded into cash (maturities assumed not reinvested) — Judgment.</t>
  </si>
  <si>
    <t xml:space="preserve">Accounts receivable, net</t>
  </si>
  <si>
    <t xml:space="preserve">Inventories</t>
  </si>
  <si>
    <t xml:space="preserve">Other current assets</t>
  </si>
  <si>
    <t xml:space="preserve">Total current assets</t>
  </si>
  <si>
    <t xml:space="preserve">Property and equipment, net</t>
  </si>
  <si>
    <t xml:space="preserve">Roll-forward: opening + capex − D&amp;A (finance-lease additions offset repayments; intangible amortisation folded in).</t>
  </si>
  <si>
    <t xml:space="preserve">Operating lease right-of-use assets</t>
  </si>
  <si>
    <t xml:space="preserve">Goodwill</t>
  </si>
  <si>
    <t xml:space="preserve">Forecast: all acquisition consideration (cash + shares) to goodwill.</t>
  </si>
  <si>
    <t xml:space="preserve">Intangible assets, net</t>
  </si>
  <si>
    <t xml:space="preserve">Held flat (indefinite-lived trade names dominate).</t>
  </si>
  <si>
    <t xml:space="preserve">Investment in unconsolidated entity (Russell Sigler)</t>
  </si>
  <si>
    <t xml:space="preserve">Grows by equity income (no distributions assumed, consistent with history).</t>
  </si>
  <si>
    <t xml:space="preserve">Other assets</t>
  </si>
  <si>
    <t xml:space="preserve">Total assets</t>
  </si>
  <si>
    <t xml:space="preserve">Liabilities</t>
  </si>
  <si>
    <t xml:space="preserve">Current portion of lease liabilities (operating + finance)</t>
  </si>
  <si>
    <t xml:space="preserve">Accounts payable</t>
  </si>
  <si>
    <t xml:space="preserve">Accrued expenses and other current liabilities</t>
  </si>
  <si>
    <t xml:space="preserve">Total current liabilities (excl. revolver)</t>
  </si>
  <si>
    <t xml:space="preserve">FY22 filed total current liabilities ($906.5M) also includes $56.4M of revolver borrowings, shown on the revolver line below.</t>
  </si>
  <si>
    <t xml:space="preserve">Borrowings under revolving credit agreement</t>
  </si>
  <si>
    <t xml:space="preserve">FY22 classified current, FY23 long-term.</t>
  </si>
  <si>
    <t xml:space="preserve">Operating lease liabilities, net of current portion</t>
  </si>
  <si>
    <t xml:space="preserve">Finance lease liabilities, net of current portion</t>
  </si>
  <si>
    <t xml:space="preserve">Held flat.</t>
  </si>
  <si>
    <t xml:space="preserve">Deferred income taxes and other liabilities</t>
  </si>
  <si>
    <t xml:space="preserve">Total liabilities</t>
  </si>
  <si>
    <t xml:space="preserve">Equity</t>
  </si>
  <si>
    <t xml:space="preserve">Common stock and Class B common stock (par)</t>
  </si>
  <si>
    <t xml:space="preserve">Par $0.50 per share, both classes.</t>
  </si>
  <si>
    <t xml:space="preserve">Paid-in capital</t>
  </si>
  <si>
    <t xml:space="preserve">Roll-forward: + SBC + non-cash 401(k) + DRIP/plan issuance − withholding + shares issued for acquisitions.</t>
  </si>
  <si>
    <t xml:space="preserve">Accumulated other comprehensive loss</t>
  </si>
  <si>
    <t xml:space="preserve">Held flat (Canadian dollar translation).</t>
  </si>
  <si>
    <t xml:space="preserve">Retained earnings</t>
  </si>
  <si>
    <t xml:space="preserve">Roll-forward: + NI attributable to Watsco − dividends paid (declared ≈ paid).</t>
  </si>
  <si>
    <t xml:space="preserve">Treasury stock, at cost</t>
  </si>
  <si>
    <t xml:space="preserve">Total Watsco shareholders' equity</t>
  </si>
  <si>
    <t xml:space="preserve">Non-controlling interest (Carrier, book value)</t>
  </si>
  <si>
    <t xml:space="preserve">Total shareholders' equity</t>
  </si>
  <si>
    <t xml:space="preserve">Total liabilities and shareholders' equity</t>
  </si>
  <si>
    <t xml:space="preserve">Balance check: assets − (liabilities + equity)</t>
  </si>
  <si>
    <t xml:space="preserve">Must be 0.00 in every column.</t>
  </si>
  <si>
    <t xml:space="preserve">Memo</t>
  </si>
  <si>
    <t xml:space="preserve">Net cash: cash + short-term investments − revolver − finance leases (non-current)</t>
  </si>
  <si>
    <t xml:space="preserve">Total lease liabilities (current + operating non-current)</t>
  </si>
  <si>
    <t xml:space="preserve">Reconciliation to filed totals</t>
  </si>
  <si>
    <t xml:space="preserve">Reported: Total assets</t>
  </si>
  <si>
    <t xml:space="preserve">Reported: Watsco shareholders' equity</t>
  </si>
  <si>
    <t xml:space="preserve">Reported: Total shareholders' equity</t>
  </si>
  <si>
    <t xml:space="preserve">Watsco (WSO) — Cash flow statement</t>
  </si>
  <si>
    <t xml:space="preserve">($ in millions; as filed: inflows positive, outflows negative. Forecast lines derived from balance-sheet movements.)</t>
  </si>
  <si>
    <t xml:space="preserve">Operating activities</t>
  </si>
  <si>
    <t xml:space="preserve">Depreciation and amortization</t>
  </si>
  <si>
    <t xml:space="preserve">Share-based compensation</t>
  </si>
  <si>
    <t xml:space="preserve">Non-cash contribution to 401(k) plan</t>
  </si>
  <si>
    <t xml:space="preserve">Deferred taxes, provision for doubtful accounts, other non-cash</t>
  </si>
  <si>
    <t xml:space="preserve">Annual: deferred taxes + provision + (gain)/loss on sale; 6M: provision + other, net (as filed).</t>
  </si>
  <si>
    <t xml:space="preserve">Equity income in unconsolidated entity</t>
  </si>
  <si>
    <t xml:space="preserve">Accounts receivable</t>
  </si>
  <si>
    <t xml:space="preserve">Accounts payable and other liabilities</t>
  </si>
  <si>
    <t xml:space="preserve">Other, net (incl. other current assets and lease balances)</t>
  </si>
  <si>
    <t xml:space="preserve">Net cash provided by (used in) operating activities</t>
  </si>
  <si>
    <t xml:space="preserve">Memo: working-capital and other operating items (used in UFCF)</t>
  </si>
  <si>
    <t xml:space="preserve">Receivables through other, net. SBC and the 401(k) stock contribution are treated as real costs (not added back). RSI equity income stays in EBIT (valued with the business).</t>
  </si>
  <si>
    <t xml:space="preserve">Investing activities</t>
  </si>
  <si>
    <t xml:space="preserve">Capital expenditures</t>
  </si>
  <si>
    <t xml:space="preserve">Business acquisitions, net of cash acquired</t>
  </si>
  <si>
    <t xml:space="preserve">Short-term cash investments, net (purchases − maturities)</t>
  </si>
  <si>
    <t xml:space="preserve">Other investing (unconsolidated entity, other investments, asset sales)</t>
  </si>
  <si>
    <t xml:space="preserve">Net cash (used in) provided by investing activities</t>
  </si>
  <si>
    <t xml:space="preserve">Financing activities</t>
  </si>
  <si>
    <t xml:space="preserve">Dividends on Common and Class B stock</t>
  </si>
  <si>
    <t xml:space="preserve">Distributions to NCI (net of NCI contributions)</t>
  </si>
  <si>
    <t xml:space="preserve">Repayments of finance lease liabilities</t>
  </si>
  <si>
    <t xml:space="preserve">Forecast: repayments offset by new vehicle leases (non-cash); net nil — Judgment.</t>
  </si>
  <si>
    <t xml:space="preserve">Repurchases of common stock to satisfy tax withholding</t>
  </si>
  <si>
    <t xml:space="preserve">Revolving credit agreement, net borrowings (repayments)</t>
  </si>
  <si>
    <t xml:space="preserve">Net proceeds from ATM sales, DRIP and employee stock plans</t>
  </si>
  <si>
    <t xml:space="preserve">Other financing (debt issuance costs)</t>
  </si>
  <si>
    <t xml:space="preserve">Net cash used in financing activities</t>
  </si>
  <si>
    <t xml:space="preserve">Effect of exchange rate changes on cash</t>
  </si>
  <si>
    <t xml:space="preserve">Cash</t>
  </si>
  <si>
    <t xml:space="preserve">Net change in cash</t>
  </si>
  <si>
    <t xml:space="preserve">Cash — beginning of period</t>
  </si>
  <si>
    <t xml:space="preserve">LTM opening cash = 30 Jun 2025 balance $293.0M (10-Q 2Q25).</t>
  </si>
  <si>
    <t xml:space="preserve">Cash — end of period</t>
  </si>
  <si>
    <t xml:space="preserve">Memo: cash before revolver draw/(repayment)</t>
  </si>
  <si>
    <t xml:space="preserve">Memo: free cash flow (CFO − capex)</t>
  </si>
  <si>
    <t xml:space="preserve">Memo: dividends + NCI distributions ÷ FCF</t>
  </si>
  <si>
    <t xml:space="preserve">Above 1.0x = shareholder payouts exceed free cash flow.</t>
  </si>
  <si>
    <t xml:space="preserve">Reported: Net cash from operating activities</t>
  </si>
  <si>
    <t xml:space="preserve">Reported: Net cash from investing activities</t>
  </si>
  <si>
    <t xml:space="preserve">Reported: Net cash used in financing activities</t>
  </si>
  <si>
    <t xml:space="preserve">Reported: Cash — end of period</t>
  </si>
  <si>
    <t xml:space="preserve">Watsco (WSO) — Debt and interest schedule</t>
  </si>
  <si>
    <t xml:space="preserve">($ in millions. Interest on opening balances, so the model has no circular reference.)</t>
  </si>
  <si>
    <t xml:space="preserve">Revolving credit agreement — $600M ($500M Oct–Mar), unsecured, matures 16 Mar 2028; SOFR + 0.10% + 1.00–1.375%</t>
  </si>
  <si>
    <t xml:space="preserve">Commitment available at year end (seasonal $500M)</t>
  </si>
  <si>
    <t xml:space="preserve">10-K FY25 note: $600M, reduced to $500M from 1 Oct to 31 Mar each year. Assumes extension or refinancing before the Mar-2028 maturity — Judgment.</t>
  </si>
  <si>
    <t xml:space="preserve">Opening balance</t>
  </si>
  <si>
    <t xml:space="preserve">Draw / (repayment)</t>
  </si>
  <si>
    <t xml:space="preserve">Draw to hold the minimum cash balance; repay with excess cash (sweep).</t>
  </si>
  <si>
    <t xml:space="preserve">Closing balance</t>
  </si>
  <si>
    <t xml:space="preserve">Availability (commitment − drawn)</t>
  </si>
  <si>
    <t xml:space="preserve">All-in rate (base + margin)</t>
  </si>
  <si>
    <t xml:space="preserve">Revolver interest expense (on opening balance)</t>
  </si>
  <si>
    <t xml:space="preserve">Interest income</t>
  </si>
  <si>
    <t xml:space="preserve">Opening cash + short-term investments</t>
  </si>
  <si>
    <t xml:space="preserve">Interest income on opening cash</t>
  </si>
  <si>
    <t xml:space="preserve">Credit statistics</t>
  </si>
  <si>
    <t xml:space="preserve">Revolver / EBITDA</t>
  </si>
  <si>
    <t xml:space="preserve">Covenant: maximum leverage and minimum interest coverage (10-K); comfortably met. Exact headroom n.d.</t>
  </si>
  <si>
    <t xml:space="preserve">(Revolver + lease liabilities) / EBITDA</t>
  </si>
  <si>
    <t xml:space="preserve">Watsco (WSO) — Discounted cash flow (unlevered, mid-period)</t>
  </si>
  <si>
    <t xml:space="preserve">($ in millions except per share; valuation date 09 Oct 2026; balance sheet as of 30 Jun 2026)</t>
  </si>
  <si>
    <t xml:space="preserve">1H26A</t>
  </si>
  <si>
    <t xml:space="preserve">Unlevered free cash flow</t>
  </si>
  <si>
    <t xml:space="preserve">  Revenue growth</t>
  </si>
  <si>
    <t xml:space="preserve">EBITDA</t>
  </si>
  <si>
    <t xml:space="preserve">EBIT (income from operations)</t>
  </si>
  <si>
    <t xml:space="preserve">(−) Taxes on EBIT at forecast effective rate</t>
  </si>
  <si>
    <t xml:space="preserve">Unlevered tax at the consolidated effective rate (~20.5%): the JVs are partnerships, so Carrier's share is taxed at Carrier. FY25A/1H26A columns use the FY26E rate.</t>
  </si>
  <si>
    <t xml:space="preserve">NOPAT</t>
  </si>
  <si>
    <t xml:space="preserve">(+) Depreciation &amp; amortization</t>
  </si>
  <si>
    <t xml:space="preserve">(−) Capital expenditures</t>
  </si>
  <si>
    <t xml:space="preserve">CF statement sign (outflow negative), linked as filed.</t>
  </si>
  <si>
    <t xml:space="preserve">(−) Acquisitions / other investing in UFCF</t>
  </si>
  <si>
    <t xml:space="preserve">Bolt-on acquisitions are part of the growth model; FY26E reflects the 1H26 actual (net inflow); none thereafter.</t>
  </si>
  <si>
    <t xml:space="preserve">(−)/+ Change in operating working capital &amp; other operating items</t>
  </si>
  <si>
    <t xml:space="preserve">Sum of CF-statement working-capital lines (as filed sign).</t>
  </si>
  <si>
    <t xml:space="preserve">Unlevered free cash flow (UFCF)</t>
  </si>
  <si>
    <t xml:space="preserve">  UFCF margin</t>
  </si>
  <si>
    <t xml:space="preserve">Discounting (mid-period convention; first period = stub from balance-sheet date to fiscal year end)</t>
  </si>
  <si>
    <t xml:space="preserve">UFCF in discount period</t>
  </si>
  <si>
    <t xml:space="preserve">FY26E stub = FY26E UFCF − 1H26A UFCF (second-half cash flow after the 30 Jun 2026 balance sheet).</t>
  </si>
  <si>
    <t xml:space="preserve">Revenue in discount period</t>
  </si>
  <si>
    <t xml:space="preserve">Used by the operating-driver sensitivity.</t>
  </si>
  <si>
    <t xml:space="preserve">Period start</t>
  </si>
  <si>
    <t xml:space="preserve">date</t>
  </si>
  <si>
    <t xml:space="preserve">Period end</t>
  </si>
  <si>
    <t xml:space="preserve">Mid-period discount time from balance-sheet date</t>
  </si>
  <si>
    <t xml:space="preserve">years</t>
  </si>
  <si>
    <t xml:space="preserve">Discount factor at WACC</t>
  </si>
  <si>
    <t xml:space="preserve">PV of UFCF</t>
  </si>
  <si>
    <t xml:space="preserve">Weeks normalisation (52 ÷ weeks in year)</t>
  </si>
  <si>
    <t xml:space="preserve">Calendar fiscal years (no 53-week years): factor = 1.000 except as noted.</t>
  </si>
  <si>
    <t xml:space="preserve">Forecast year index (for growth sensitivity)</t>
  </si>
  <si>
    <t xml:space="preserve">index</t>
  </si>
  <si>
    <t xml:space="preserve">Tax rate applied</t>
  </si>
  <si>
    <t xml:space="preserve">WACC build (CAPM)</t>
  </si>
  <si>
    <t xml:space="preserve">Link to Inputs (U.S. Treasury, 9 Oct 2026).</t>
  </si>
  <si>
    <t xml:space="preserve">Link to Inputs (Damodaran implied ERP, 1 Oct 2026).</t>
  </si>
  <si>
    <t xml:space="preserve">Unlevered beta: peer median</t>
  </si>
  <si>
    <t xml:space="preserve">Comps tab: median of peer Blume-adjusted betas, unlevered at each peer's market D/E.</t>
  </si>
  <si>
    <t xml:space="preserve">Target debt / equity (market)</t>
  </si>
  <si>
    <t xml:space="preserve">Current market capital structure (operating leases excluded, consistent with EBITDA after rent).</t>
  </si>
  <si>
    <t xml:space="preserve">Relevered beta</t>
  </si>
  <si>
    <t xml:space="preserve">Hamada: βL = βU × (1 + (1 − t) × D/E).</t>
  </si>
  <si>
    <t xml:space="preserve">Cost of equity</t>
  </si>
  <si>
    <t xml:space="preserve">CAPM.</t>
  </si>
  <si>
    <t xml:space="preserve">Link to Inputs.</t>
  </si>
  <si>
    <t xml:space="preserve">After-tax cost of debt</t>
  </si>
  <si>
    <t xml:space="preserve">Equity market value</t>
  </si>
  <si>
    <t xml:space="preserve">Price × diluted shares.</t>
  </si>
  <si>
    <t xml:space="preserve">Debt (incl. finance leases)</t>
  </si>
  <si>
    <t xml:space="preserve">Link to Inputs (latest balance sheet).</t>
  </si>
  <si>
    <t xml:space="preserve">Equity weight</t>
  </si>
  <si>
    <t xml:space="preserve">WACC</t>
  </si>
  <si>
    <t xml:space="preserve">Base-case discount rate.</t>
  </si>
  <si>
    <t xml:space="preserve">Terminal value</t>
  </si>
  <si>
    <t xml:space="preserve">Terminal growth rate (Gordon)</t>
  </si>
  <si>
    <t xml:space="preserve">Exit multiple (EV / terminal-year EBITDA)</t>
  </si>
  <si>
    <t xml:space="preserve">Terminal-year UFCF, 52-week normalised</t>
  </si>
  <si>
    <t xml:space="preserve">Terminal-year EBITDA, 52-week normalised</t>
  </si>
  <si>
    <t xml:space="preserve">Discount time to end of terminal year</t>
  </si>
  <si>
    <t xml:space="preserve">TV — Gordon growth: UFCF × (1 + g) ÷ (WACC − g)</t>
  </si>
  <si>
    <t xml:space="preserve">TV — exit multiple: EBITDA × multiple</t>
  </si>
  <si>
    <t xml:space="preserve">PV of TV — Gordon</t>
  </si>
  <si>
    <t xml:space="preserve">PV of TV — exit multiple</t>
  </si>
  <si>
    <t xml:space="preserve">Sum of PV of discrete UFCF</t>
  </si>
  <si>
    <t xml:space="preserve">Enterprise value — Gordon</t>
  </si>
  <si>
    <t xml:space="preserve">Enterprise value — exit multiple</t>
  </si>
  <si>
    <t xml:space="preserve">  TV as % of EV — Gordon</t>
  </si>
  <si>
    <t xml:space="preserve">  TV as % of EV — exit</t>
  </si>
  <si>
    <t xml:space="preserve">  Implied exit multiple from Gordon TV</t>
  </si>
  <si>
    <t xml:space="preserve">Cross-check: should sit near the peer range.</t>
  </si>
  <si>
    <t xml:space="preserve">  Implied perpetual growth from exit-multiple TV</t>
  </si>
  <si>
    <t xml:space="preserve">Cross-check: should sit near long-run nominal GDP.</t>
  </si>
  <si>
    <t xml:space="preserve">Enterprise value to equity value (balance sheet as of 30 Jun 2026)</t>
  </si>
  <si>
    <t xml:space="preserve">Balance-sheet (valuation-anchor) date</t>
  </si>
  <si>
    <t xml:space="preserve">Latest 10-Q balance sheet.</t>
  </si>
  <si>
    <t xml:space="preserve">(+) Cash and cash equivalents</t>
  </si>
  <si>
    <t xml:space="preserve">(−) Debt (incl. finance leases)</t>
  </si>
  <si>
    <t xml:space="preserve">(−) Other claims / (+) other assets (see note)</t>
  </si>
  <si>
    <t xml:space="preserve">Book-value claims other than NCI (none). NCI is deducted at market value through the parent-share factor below.</t>
  </si>
  <si>
    <t xml:space="preserve">Watsco share of consolidated equity value (1 − NCI share)</t>
  </si>
  <si>
    <t xml:space="preserve">Carrier's JV minority interest valued pro rata at market (≈15% of consolidated earnings), not at its $479M book value. Teaching point: deducting NCI at book value would materially overstate Watsco's value per share.</t>
  </si>
  <si>
    <t xml:space="preserve">Diluted shares</t>
  </si>
  <si>
    <t xml:space="preserve">Basic shares (latest 10-Q cover) + dilutive securities (treasury method, latest quarter).</t>
  </si>
  <si>
    <t xml:space="preserve">Equity value — Gordon</t>
  </si>
  <si>
    <t xml:space="preserve">Equity value — exit multiple</t>
  </si>
  <si>
    <t xml:space="preserve">Value per share at balance-sheet date — Gordon</t>
  </si>
  <si>
    <t xml:space="preserve">Value per share at balance-sheet date — exit</t>
  </si>
  <si>
    <t xml:space="preserve">Valuation date (last close used)</t>
  </si>
  <si>
    <t xml:space="preserve">Price date on Inputs.</t>
  </si>
  <si>
    <t xml:space="preserve">Roll-forward factor to valuation date at cost of equity</t>
  </si>
  <si>
    <t xml:space="preserve">Equity value grows at Ke between the balance-sheet date and the valuation date.</t>
  </si>
  <si>
    <t xml:space="preserve">(−) Dividends per share paid in between</t>
  </si>
  <si>
    <t xml:space="preserve">Implied value per share — Gordon</t>
  </si>
  <si>
    <t xml:space="preserve">Implied value per share — exit multiple</t>
  </si>
  <si>
    <t xml:space="preserve">Implied value per share — midpoint of the two methods</t>
  </si>
  <si>
    <t xml:space="preserve">Headline DCF value.</t>
  </si>
  <si>
    <t xml:space="preserve">Current share price</t>
  </si>
  <si>
    <t xml:space="preserve">Upside / (downside) to midpoint</t>
  </si>
  <si>
    <t xml:space="preserve">Watsco (WSO) — Trading comparables</t>
  </si>
  <si>
    <t xml:space="preserve">($ in millions except per share; prices as of close 09 Oct 2026; LTM = last fiscal year + latest YTD − prior-year YTD, from each company's SEC XBRL filings)</t>
  </si>
  <si>
    <t xml:space="preserve">Ticker</t>
  </si>
  <si>
    <t xml:space="preserve">Company</t>
  </si>
  <si>
    <t xml:space="preserve">LTM period end</t>
  </si>
  <si>
    <t xml:space="preserve">Price ($)</t>
  </si>
  <si>
    <t xml:space="preserve">Diluted shares (M)</t>
  </si>
  <si>
    <t xml:space="preserve">Equity value</t>
  </si>
  <si>
    <t xml:space="preserve">Debt incl. fin. leases</t>
  </si>
  <si>
    <t xml:space="preserve">Other claims</t>
  </si>
  <si>
    <t xml:space="preserve">Enterprise value</t>
  </si>
  <si>
    <t xml:space="preserve">LTM revenue</t>
  </si>
  <si>
    <t xml:space="preserve">LTM EBITDA</t>
  </si>
  <si>
    <t xml:space="preserve">LTM net income</t>
  </si>
  <si>
    <t xml:space="preserve">LTM diluted EPS ($)</t>
  </si>
  <si>
    <t xml:space="preserve">EV / LTM revenue</t>
  </si>
  <si>
    <t xml:space="preserve">EV / LTM EBITDA</t>
  </si>
  <si>
    <t xml:space="preserve">P / LTM EPS</t>
  </si>
  <si>
    <t xml:space="preserve">EBITDA margin</t>
  </si>
  <si>
    <t xml:space="preserve">Raw beta (2y wkly)</t>
  </si>
  <si>
    <t xml:space="preserve">Adj. beta (Blume)</t>
  </si>
  <si>
    <t xml:space="preserve">D / E (market)</t>
  </si>
  <si>
    <t xml:space="preserve">Unlevered beta</t>
  </si>
  <si>
    <t xml:space="preserve">Source</t>
  </si>
  <si>
    <t xml:space="preserve">FERG</t>
  </si>
  <si>
    <t xml:space="preserve">Ferguson Enterprises</t>
  </si>
  <si>
    <t xml:space="preserve">10-KT transition period Aug–Dec 2025 (acc. 0002011641-26-000006) and 10-Q 2Q26 (acc. 0002011641-26-000040). Debt = current $448M + long-term $4,456M. LTM ≈ (5M + 6M) × 12/11 (fiscal-year change; July 2025 n.d.). Price: Yahoo Finance close 9 Oct 2026.</t>
  </si>
  <si>
    <t xml:space="preserve">POOL</t>
  </si>
  <si>
    <t xml:space="preserve">Pool Corporation</t>
  </si>
  <si>
    <t xml:space="preserve">10-K FY25 (XBRL) + 10-Q 2Q26 statements (acc. 0001193125-26-322532, filed 29 Jul 2026). Debt = short-term borrowings &amp; current LTD $13.4M + LTD $1,327.3M. D&amp;A = depreciation + amortization (CF). Price: Yahoo Finance close 9 Oct 2026.</t>
  </si>
  <si>
    <t xml:space="preserve">SITE</t>
  </si>
  <si>
    <t xml:space="preserve">SiteOne Landscape Supply</t>
  </si>
  <si>
    <t xml:space="preserve">10-K FY25 (acc. 0001650729-26-000005) + 10-Q 2Q26 statements (acc. 0001650729-26-000016). Debt = LTD $3.9M + $501.8M + finance leases $35.0M + $102.3M. Redeemable NCI nil at 28 Jun 2026. D&amp;A = depreciation &amp; finance-lease ROU amortisation + intangible amortisation (CF). Price: Yahoo Finance close 9 Oct 2026.</t>
  </si>
  <si>
    <t xml:space="preserve">CNM</t>
  </si>
  <si>
    <t xml:space="preserve">Core &amp; Main</t>
  </si>
  <si>
    <t xml:space="preserve">10-K FY25 (FY to 1 Feb 2026) + 10-Q 2Q26 (to 2 Aug 2026, acc. 0001856525-26-000092). Debt = current $17M + long-term $2,432M. Shares = 184,192,708 Class A + 6,301,342 Class B (cover). Price: Yahoo Finance close 9 Oct 2026.</t>
  </si>
  <si>
    <t xml:space="preserve">GWW</t>
  </si>
  <si>
    <t xml:space="preserve">W.W. Grainger</t>
  </si>
  <si>
    <t xml:space="preserve">10-K FY25 + 10-Q 2Q26 (acc. 0000277135-26-000079). Debt incl. current maturities; Other claims = NCI (MonotaRO) at book $382M. Price: Yahoo Finance close 9 Oct 2026.</t>
  </si>
  <si>
    <t xml:space="preserve">Maximum</t>
  </si>
  <si>
    <t xml:space="preserve">75th percentile</t>
  </si>
  <si>
    <t xml:space="preserve">Median</t>
  </si>
  <si>
    <t xml:space="preserve">Mean</t>
  </si>
  <si>
    <t xml:space="preserve">25th percentile</t>
  </si>
  <si>
    <t xml:space="preserve">Minimum</t>
  </si>
  <si>
    <t xml:space="preserve">WSO</t>
  </si>
  <si>
    <t xml:space="preserve">Watsco (subject, at market)</t>
  </si>
  <si>
    <t xml:space="preserve">WSO LTM from IS tab (FY25 + 6M26 − 6M25); EV includes Carrier NCI at implied market value (Other claims column); beta: IC Simulator OLS of 105 weekly returns vs S&amp;P 500, 7 Oct 2024–9 Oct 2026 (Yahoo Finance).</t>
  </si>
  <si>
    <t xml:space="preserve">Peers: specialty and broad-line distributors of HVAC, plumbing, pool, landscape and MRO products. EBITDA = operating income + D&amp;A as reported (no add-backs), after operating-lease rent.</t>
  </si>
  <si>
    <t xml:space="preserve">Debt includes finance leases; operating leases excluded (EBITDA is after rent). Shares from each 10-Q cover. CNM shares = Class A + Class B (Class B are exchangeable partnership units, so NCI is not added again).</t>
  </si>
  <si>
    <t xml:space="preserve">Peer LTM build (FY + YTD − prior-year YTD). Values in $M from SEC XBRL company facts; EPS in $.</t>
  </si>
  <si>
    <t xml:space="preserve">Line item (XBRL concept)</t>
  </si>
  <si>
    <t xml:space="preserve">Last FY</t>
  </si>
  <si>
    <t xml:space="preserve">Latest YTD</t>
  </si>
  <si>
    <t xml:space="preserve">Prior-yr YTD</t>
  </si>
  <si>
    <t xml:space="preserve">LTM</t>
  </si>
  <si>
    <t xml:space="preserve">Revenue (Revenues)</t>
  </si>
  <si>
    <t xml:space="preserve">Last FY column = 5-month transition period to 2025-12-31; YTD to 2026-06-30; LTM ≈ 11 months × 12/11 (flagged)</t>
  </si>
  <si>
    <t xml:space="preserve">Operating income (OperatingIncomeLoss)</t>
  </si>
  <si>
    <t xml:space="preserve">D&amp;A (DepreciationDepletionAndAmortization)</t>
  </si>
  <si>
    <t xml:space="preserve">Net income (NetIncomeLoss)</t>
  </si>
  <si>
    <t xml:space="preserve">Diluted EPS ($) (EarningsPerShareDiluted)</t>
  </si>
  <si>
    <t xml:space="preserve">FY to 2025-12-31; YTD to 2026-06-30 vs 2025-06-30</t>
  </si>
  <si>
    <t xml:space="preserve">D&amp;A (Depreciation + AmortizationOfIntangibleAssets)</t>
  </si>
  <si>
    <t xml:space="preserve">Revenue (RevenueFromContractWithCustomerExcludingAssessedTax)</t>
  </si>
  <si>
    <t xml:space="preserve">FY to 2025-12-28; YTD to 2026-06-28 vs 2025-06-29</t>
  </si>
  <si>
    <t xml:space="preserve">D&amp;A (Depreciation &amp; ROU amortisation + AmortizationOfIntangibleAssets)</t>
  </si>
  <si>
    <t xml:space="preserve">Net income (NetIncomeLoss attributable to SiteOne)</t>
  </si>
  <si>
    <t xml:space="preserve">FY to 2026-02-01; YTD to 2026-08-02 vs 2025-08-03</t>
  </si>
  <si>
    <t xml:space="preserve">Watsco (WSO) — Sensitivity analysis (implied value per share, $)</t>
  </si>
  <si>
    <t xml:space="preserve">Every cell is a live formula that re-runs the DCF (no Excel Data Tables). Axis values are blue inputs; the shaded cell is the base case.</t>
  </si>
  <si>
    <t xml:space="preserve">Grid 1 — DCF (Gordon growth): WACC × terminal growth rate</t>
  </si>
  <si>
    <t xml:space="preserve">Axis steps</t>
  </si>
  <si>
    <t xml:space="preserve">WACC ↓  ·  Terminal growth g →</t>
  </si>
  <si>
    <t xml:space="preserve">← column step</t>
  </si>
  <si>
    <t xml:space="preserve">← row step</t>
  </si>
  <si>
    <t xml:space="preserve">Reading the output: the terminal value carries most of EV, so WACC and g dominate; check the implied exit multiple (DCF tab) against the comps before defending g.</t>
  </si>
  <si>
    <t xml:space="preserve">Grid 2 — DCF (exit multiple): WACC × exit EV/EBITDA multiple</t>
  </si>
  <si>
    <t xml:space="preserve">WACC ↓  ·  Exit multiple →</t>
  </si>
  <si>
    <t xml:space="preserve">Reading the output: compare the multiple needed to justify the current price with the distributor median and with WSO's own trading multiple; the gap is the premium the market is paying.</t>
  </si>
  <si>
    <t xml:space="preserve">Grid 3 — Operating drivers (Gordon DCF at base WACC and g): revenue growth Δ × EBITDA margin Δ</t>
  </si>
  <si>
    <t xml:space="preserve">Revenue growth Δ / yr ↓  ·  EBITDA margin Δ →</t>
  </si>
  <si>
    <t xml:space="preserve">Reading the output: gross margin is the swing factor: 50 bp of EBITDA margin on ~$8bn of revenue is worth more than a point of growth, which is why the OEM-pricing normalisation matters.</t>
  </si>
  <si>
    <t xml:space="preserve">Watsco (WSO) — Valuation summary (football field)</t>
  </si>
  <si>
    <t xml:space="preserve">(Implied value per share, $; price $279.90 at close 09 Oct 2026)</t>
  </si>
  <si>
    <t xml:space="preserve">Method</t>
  </si>
  <si>
    <t xml:space="preserve">Low</t>
  </si>
  <si>
    <t xml:space="preserve">High</t>
  </si>
  <si>
    <t xml:space="preserve">Bar length</t>
  </si>
  <si>
    <t xml:space="preserve">Basis</t>
  </si>
  <si>
    <t xml:space="preserve">52-week trading range</t>
  </si>
  <si>
    <t xml:space="preserve">Yahoo Finance daily high/low, 12 months to 09 Oct 2026</t>
  </si>
  <si>
    <t xml:space="preserve">Trading comps — EV / LTM EBITDA (25th–75th pct)</t>
  </si>
  <si>
    <t xml:space="preserve">Peer interquartile EV/EBITDA × subject LTM EBITDA, bridged to equity</t>
  </si>
  <si>
    <t xml:space="preserve">Trading comps — P / LTM EPS (25th–75th pct)</t>
  </si>
  <si>
    <t xml:space="preserve">Peer interquartile P/E × subject LTM diluted EPS</t>
  </si>
  <si>
    <t xml:space="preserve">DCF — Gordon growth (WACC ±50 bp, g ±50 bp)</t>
  </si>
  <si>
    <t xml:space="preserve">Inner 3×3 of Sensitivity grid 1</t>
  </si>
  <si>
    <t xml:space="preserve">DCF — exit multiple (WACC ±50 bp, multiple ±1.0x)</t>
  </si>
  <si>
    <t xml:space="preserve">Inner 3×3 of Sensitivity grid 2</t>
  </si>
  <si>
    <t xml:space="preserve">DCF midpoint (headline)</t>
  </si>
  <si>
    <t xml:space="preserve">Chart: invisible "Low" series + navy "Bar length" series (stacked bar). Compare bars with the current price line above.</t>
  </si>
  <si>
    <t xml:space="preserve">Watsco (WSO) — Quarterly history (10 quarters)</t>
  </si>
  <si>
    <t xml:space="preserve">($ in millions; Q1–Q3 from 10-Qs; *Q4 derived = FY − 9M, flagged. Strong seasonality: Q2–Q3 are the cooling season.)</t>
  </si>
  <si>
    <t xml:space="preserve">1Q24</t>
  </si>
  <si>
    <t xml:space="preserve">2Q24</t>
  </si>
  <si>
    <t xml:space="preserve">3Q24</t>
  </si>
  <si>
    <t xml:space="preserve">4Q24*</t>
  </si>
  <si>
    <t xml:space="preserve">1Q25</t>
  </si>
  <si>
    <t xml:space="preserve">2Q25</t>
  </si>
  <si>
    <t xml:space="preserve">3Q25</t>
  </si>
  <si>
    <t xml:space="preserve">4Q25*</t>
  </si>
  <si>
    <t xml:space="preserve">1Q26</t>
  </si>
  <si>
    <t xml:space="preserve">2Q26</t>
  </si>
  <si>
    <t xml:space="preserve">Quarterly income statement</t>
  </si>
  <si>
    <t xml:space="preserve">XBRL company facts (10-Q quarterly values). Q4 = FY (10-K) − Q1–Q3.</t>
  </si>
  <si>
    <t xml:space="preserve">Operating income</t>
  </si>
  <si>
    <t xml:space="preserve">Operating margin</t>
  </si>
  <si>
    <t xml:space="preserve">Revenue growth y/y</t>
  </si>
  <si>
    <t xml:space="preserve">Gross margin change y/y</t>
  </si>
  <si>
    <t xml:space="preserve">bp</t>
  </si>
  <si>
    <t xml:space="preserve">Share of fiscal-year revenue</t>
  </si>
  <si>
    <t xml:space="preserve">Check: 1Q+2Q vs reported 6M revenue</t>
  </si>
  <si>
    <t xml:space="preserve">2Q26: revenue +2.1% but gross margin 27.5% (−180 bp y/y) and operating income −12.3%; diluted EPS $4.00 vs a $4.38–$4.51 consensus range (Zacks via Yahoo Finance; MarketBeat). The stock fell about 13% on 29 Jul 2026 (Kalkine). (* Q4 derived = FY − 9M.)</t>
  </si>
  <si>
    <t xml:space="preserve">Watsco (WSO) — Checks</t>
  </si>
  <si>
    <t xml:space="preserve">Each check is a formula returning a difference. Internal builds must equal exactly 0.00; SEC-sourced ties pass if |Δ| ≤ 0.5 × unit ($0.5M).</t>
  </si>
  <si>
    <t xml:space="preserve">Check</t>
  </si>
  <si>
    <t xml:space="preserve">Δ (value)</t>
  </si>
  <si>
    <t xml:space="preserve">Tolerance</t>
  </si>
  <si>
    <t xml:space="preserve">Status</t>
  </si>
  <si>
    <t xml:space="preserve">Type / note</t>
  </si>
  <si>
    <t xml:space="preserve">Balance sheet balances — FY26E</t>
  </si>
  <si>
    <t xml:space="preserve">Internal: exact 0</t>
  </si>
  <si>
    <t xml:space="preserve">Balance sheet balances — FY27E</t>
  </si>
  <si>
    <t xml:space="preserve">Balance sheet balances — FY28E</t>
  </si>
  <si>
    <t xml:space="preserve">Balance sheet balances — FY29E</t>
  </si>
  <si>
    <t xml:space="preserve">Balance sheet balances — FY30E</t>
  </si>
  <si>
    <t xml:space="preserve">Balance sheet balances (filed) — FY22A</t>
  </si>
  <si>
    <t xml:space="preserve">SEC tie</t>
  </si>
  <si>
    <t xml:space="preserve">Balance sheet balances (filed) — FY23A</t>
  </si>
  <si>
    <t xml:space="preserve">Balance sheet balances (filed) — FY24A</t>
  </si>
  <si>
    <t xml:space="preserve">Balance sheet balances (filed) — FY25A</t>
  </si>
  <si>
    <t xml:space="preserve">Balance sheet balances (filed) — Jun-25</t>
  </si>
  <si>
    <t xml:space="preserve">Balance sheet balances (filed) — Jun-26</t>
  </si>
  <si>
    <t xml:space="preserve">Cash ties: CF ending cash = BS cash — FY26E</t>
  </si>
  <si>
    <t xml:space="preserve">Cash ties: CF ending cash = BS cash — FY27E</t>
  </si>
  <si>
    <t xml:space="preserve">Cash ties: CF ending cash = BS cash — FY28E</t>
  </si>
  <si>
    <t xml:space="preserve">Cash ties: CF ending cash = BS cash — FY29E</t>
  </si>
  <si>
    <t xml:space="preserve">Cash ties: CF ending cash = BS cash — FY30E</t>
  </si>
  <si>
    <t xml:space="preserve">IS reconciles to filings — Gross profit (sum of |Δ| FY22–6M26)</t>
  </si>
  <si>
    <t xml:space="preserve">SEC tie (6 periods × $0.5M)</t>
  </si>
  <si>
    <t xml:space="preserve">IS reconciles to filings — Operating income (sum of |Δ| FY22–6M26)</t>
  </si>
  <si>
    <t xml:space="preserve">IS reconciles to filings — Pre-tax income (sum of |Δ| FY22–6M26)</t>
  </si>
  <si>
    <t xml:space="preserve">IS reconciles to filings — Net income attributable to Watsco (sum of |Δ| FY22–6M26)</t>
  </si>
  <si>
    <t xml:space="preserve">IS reconciles — diluted EPS (max |Δ|, $/sh)</t>
  </si>
  <si>
    <t xml:space="preserve">SEC tie: reported EPS rounded to $0.01</t>
  </si>
  <si>
    <t xml:space="preserve">BS reconciles — Total assets (sum |Δ|)</t>
  </si>
  <si>
    <t xml:space="preserve">SEC tie (6 balance sheets)</t>
  </si>
  <si>
    <t xml:space="preserve">BS reconciles — Watsco equity (sum |Δ|)</t>
  </si>
  <si>
    <t xml:space="preserve">BS reconciles — Total equity (sum |Δ|)</t>
  </si>
  <si>
    <t xml:space="preserve">CF reconciles — CFO (sum |Δ|)</t>
  </si>
  <si>
    <t xml:space="preserve">CF reconciles — CFI (sum |Δ|)</t>
  </si>
  <si>
    <t xml:space="preserve">CF reconciles — CFF (sum |Δ|)</t>
  </si>
  <si>
    <t xml:space="preserve">CF reconciles — Ending cash (sum |Δ|)</t>
  </si>
  <si>
    <t xml:space="preserve">CF ending cash = BS cash (FY22A–FY25A, Jun-25, Jun-26)</t>
  </si>
  <si>
    <t xml:space="preserve">Quarterly: 1Q+2Q = reported 6M revenue (2025, 2026)</t>
  </si>
  <si>
    <t xml:space="preserve">LTM revenue = FY25 + 6M26 − 6M25</t>
  </si>
  <si>
    <t xml:space="preserve">Internal</t>
  </si>
  <si>
    <t xml:space="preserve">Revenue build = IS revenue (FY26E–FY30E)</t>
  </si>
  <si>
    <t xml:space="preserve">Revolver never negative (min closing balance)</t>
  </si>
  <si>
    <t xml:space="preserve">Revolver within availability (shortfall, if any)</t>
  </si>
  <si>
    <t xml:space="preserve">Cash ≥ minimum cash in every forecast year (shortfall)</t>
  </si>
  <si>
    <t xml:space="preserve">Sensitivity grid 1 base cell = DCF Gordon value</t>
  </si>
  <si>
    <t xml:space="preserve">Sensitivity grid 2 base cell = DCF exit-multiple value</t>
  </si>
  <si>
    <t xml:space="preserve">Sensitivity grid 3 base cell = DCF Gordon value</t>
  </si>
  <si>
    <t xml:space="preserve">WACC exceeds terminal growth (margin, must be &gt; 0)</t>
  </si>
  <si>
    <t xml:space="preserve">Internal: flags WACC − g &lt; 1 pt (0 until both are entered)</t>
  </si>
  <si>
    <t xml:space="preserve">MASTER CHECK</t>
  </si>
  <si>
    <t xml:space="preserve">Watsco (WSO) — Practice drills (warm-up before you build the forecast)</t>
  </si>
  <si>
    <t xml:space="preserve">Enter your answer in the yellow cell (column D). Column E says Correct / Not yet. Drills use only historical data and generic mechanics, never the valuation answer.</t>
  </si>
  <si>
    <t xml:space="preserve">No.</t>
  </si>
  <si>
    <t xml:space="preserve">Drill</t>
  </si>
  <si>
    <t xml:space="preserve">Your answer</t>
  </si>
  <si>
    <t xml:space="preserve">Feedback</t>
  </si>
  <si>
    <t xml:space="preserve">Hint (where to look)</t>
  </si>
  <si>
    <t xml:space="preserve">LTM Jun-26 revenue ($M): FY25A + 6M26A − 6M25A.</t>
  </si>
  <si>
    <t xml:space="preserve">IS tab, revenue row.</t>
  </si>
  <si>
    <t xml:space="preserve">FY25A gross margin.</t>
  </si>
  <si>
    <t xml:space="preserve">Gross profit ÷ revenue (FY25 benefited from OEM price pass-through).</t>
  </si>
  <si>
    <t xml:space="preserve">FY25A EBITDA ($M), unadjusted.</t>
  </si>
  <si>
    <t xml:space="preserve">Operating income + D&amp;A (D&amp;A from the CF statement; Watsco includes it in SG&amp;A).</t>
  </si>
  <si>
    <t xml:space="preserve">FY25A days inventory outstanding (year-end inventory ÷ COGS × 365).</t>
  </si>
  <si>
    <t xml:space="preserve">Inventories (BS) and cost of sales (IS).</t>
  </si>
  <si>
    <t xml:space="preserve">Increase in inventory from 31 Dec 2025 to 30 Jun 2026 ($M).</t>
  </si>
  <si>
    <t xml:space="preserve">Seasonal build ahead of the cooling season (part is Jackson).</t>
  </si>
  <si>
    <t xml:space="preserve">FY25A NCI share of net income incl. NCI.</t>
  </si>
  <si>
    <t xml:space="preserve">Carrier's share of JV earnings ÷ consolidated net income.</t>
  </si>
  <si>
    <t xml:space="preserve">FY25A diluted EPS using the two-class method ($): (NI to Watsco − earnings allocated to restricted stock) ÷ weighted diluted shares.</t>
  </si>
  <si>
    <t xml:space="preserve">EPS note: allocation $32.8M; weighted diluted 37.90M.</t>
  </si>
  <si>
    <t xml:space="preserve">FY25A dividends paid plus NCI distributions as a multiple of free cash flow (CFO − capex).</t>
  </si>
  <si>
    <t xml:space="preserve">CF statement. Above 1.0x means payouts exceeded FCF.</t>
  </si>
  <si>
    <t xml:space="preserve">Unlever a 0.94 levered beta at market D/E of 32% and a 25% tax rate (Hamada).</t>
  </si>
  <si>
    <t xml:space="preserve">βU = βL ÷ (1 + (1 − t) × D/E).</t>
  </si>
  <si>
    <t xml:space="preserve">A JV partner owns 15% of consolidated earnings. Consolidated equity value is $12,000M. What is the partner's claim at market value ($M)?</t>
  </si>
  <si>
    <t xml:space="preserve">Pro rata claim; compare with a book NCI of ~$480M.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</si>
</sst>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dd\-mmm\-yy"/>
    <numFmt numFmtId="166" formatCode="#,##0_);\(#,##0\);\–_)"/>
    <numFmt numFmtId="167" formatCode="0.0%_);\(0.0%\);\–_)"/>
    <numFmt numFmtId="168" formatCode="#,##0.0_);\(#,##0.0\);\–_)"/>
    <numFmt numFmtId="169" formatCode="0.00%_);\(0.00%\);\–_)"/>
    <numFmt numFmtId="170" formatCode="0.000_);\(0.000\);\–_)"/>
    <numFmt numFmtId="171" formatCode="\$#,##0.00_);&quot;($&quot;#,##0.00\);\–_)"/>
    <numFmt numFmtId="172" formatCode="&quot;n2&quot;"/>
    <numFmt numFmtId="173" formatCode="&quot;n3&quot;"/>
    <numFmt numFmtId="174" formatCode="0.0\x_);\(0.0&quot;x)&quot;;\–_)"/>
    <numFmt numFmtId="175" formatCode="0.00_);\(0.00\);0.00_)"/>
    <numFmt numFmtId="176" formatCode="0.00\x"/>
    <numFmt numFmtId="177" formatCode="0.00"/>
    <numFmt numFmtId="178" formatCode="#,##0&quot; bp&quot;;\(#,##0&quot; bp)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5F"/>
      <name val="Georgia"/>
      <family val="0"/>
      <charset val="1"/>
    </font>
    <font>
      <sz val="13"/>
      <color rgb="FF121826"/>
      <name val="Georgia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0"/>
      <color rgb="FF121826"/>
      <name val="Arial"/>
      <family val="0"/>
      <charset val="1"/>
    </font>
    <font>
      <sz val="9"/>
      <color rgb="FF5B647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E4EAF3"/>
        <bgColor rgb="FFF2F4F8"/>
      </patternFill>
    </fill>
    <fill>
      <patternFill patternType="solid">
        <fgColor rgb="FFFFF9E6"/>
        <bgColor rgb="FFFFFFFF"/>
      </patternFill>
    </fill>
    <fill>
      <patternFill patternType="solid">
        <fgColor rgb="FFF2F4F8"/>
        <bgColor rgb="FFFFF9E6"/>
      </patternFill>
    </fill>
    <fill>
      <patternFill patternType="solid">
        <fgColor rgb="FFFCE9C8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2182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</dxf>
    <dxf>
      <font>
        <b val="1"/>
        <color rgb="FF0B5D4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9E6"/>
      <rgbColor rgb="FFE4EA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8"/>
      <rgbColor rgb="FFCCFFCC"/>
      <rgbColor rgb="FFFCE9C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95"/>
  </cols>
  <sheetData>
    <row r="2" customFormat="false" ht="24.45" hidden="false" customHeight="false" outlineLevel="0" collapsed="false">
      <c r="B2" s="1" t="s">
        <v>0</v>
      </c>
    </row>
    <row r="3" customFormat="false" ht="16.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5" t="str">
        <f aca="false">Checks!E45</f>
        <v>ALL CHECKS OK</v>
      </c>
    </row>
    <row r="13" customFormat="false" ht="15" hidden="false" customHeight="false" outlineLevel="0" collapsed="false">
      <c r="B13" s="6" t="s">
        <v>15</v>
      </c>
      <c r="C13" s="7"/>
    </row>
    <row r="14" customFormat="false" ht="15" hidden="false" customHeight="false" outlineLevel="0" collapsed="false">
      <c r="B14" s="3" t="s">
        <v>16</v>
      </c>
      <c r="C14" s="8" t="s">
        <v>17</v>
      </c>
    </row>
    <row r="15" customFormat="false" ht="23.85" hidden="false" customHeight="false" outlineLevel="0" collapsed="false">
      <c r="B15" s="3" t="s">
        <v>18</v>
      </c>
      <c r="C15" s="8" t="s">
        <v>19</v>
      </c>
    </row>
    <row r="16" customFormat="false" ht="23.85" hidden="false" customHeight="false" outlineLevel="0" collapsed="false">
      <c r="B16" s="3" t="s">
        <v>20</v>
      </c>
      <c r="C16" s="8" t="s">
        <v>21</v>
      </c>
    </row>
    <row r="17" customFormat="false" ht="23.85" hidden="false" customHeight="false" outlineLevel="0" collapsed="false">
      <c r="B17" s="3" t="s">
        <v>22</v>
      </c>
      <c r="C17" s="8" t="s">
        <v>23</v>
      </c>
    </row>
    <row r="18" customFormat="false" ht="23.85" hidden="false" customHeight="false" outlineLevel="0" collapsed="false">
      <c r="B18" s="3" t="s">
        <v>24</v>
      </c>
      <c r="C18" s="8" t="s">
        <v>25</v>
      </c>
    </row>
    <row r="19" customFormat="false" ht="15" hidden="false" customHeight="false" outlineLevel="0" collapsed="false">
      <c r="B19" s="3" t="s">
        <v>26</v>
      </c>
      <c r="C19" s="8" t="s">
        <v>27</v>
      </c>
    </row>
    <row r="20" customFormat="false" ht="23.85" hidden="false" customHeight="false" outlineLevel="0" collapsed="false">
      <c r="B20" s="3" t="s">
        <v>28</v>
      </c>
      <c r="C20" s="8" t="s">
        <v>29</v>
      </c>
    </row>
    <row r="21" customFormat="false" ht="23.85" hidden="false" customHeight="false" outlineLevel="0" collapsed="false">
      <c r="B21" s="3" t="s">
        <v>30</v>
      </c>
      <c r="C21" s="8" t="s">
        <v>31</v>
      </c>
    </row>
    <row r="22" customFormat="false" ht="23.85" hidden="false" customHeight="false" outlineLevel="0" collapsed="false">
      <c r="B22" s="3" t="s">
        <v>32</v>
      </c>
      <c r="C22" s="8" t="s">
        <v>33</v>
      </c>
    </row>
    <row r="23" customFormat="false" ht="15" hidden="false" customHeight="false" outlineLevel="0" collapsed="false">
      <c r="B23" s="3" t="s">
        <v>34</v>
      </c>
      <c r="C23" s="8" t="s">
        <v>35</v>
      </c>
    </row>
    <row r="24" customFormat="false" ht="15" hidden="false" customHeight="false" outlineLevel="0" collapsed="false">
      <c r="B24" s="3" t="s">
        <v>36</v>
      </c>
      <c r="C24" s="8" t="s">
        <v>37</v>
      </c>
    </row>
    <row r="25" customFormat="false" ht="15" hidden="false" customHeight="false" outlineLevel="0" collapsed="false">
      <c r="B25" s="3" t="s">
        <v>38</v>
      </c>
      <c r="C25" s="8" t="s">
        <v>39</v>
      </c>
    </row>
    <row r="26" customFormat="false" ht="15" hidden="false" customHeight="false" outlineLevel="0" collapsed="false">
      <c r="B26" s="3" t="s">
        <v>40</v>
      </c>
      <c r="C26" s="8" t="s">
        <v>41</v>
      </c>
    </row>
    <row r="27" customFormat="false" ht="23.85" hidden="false" customHeight="false" outlineLevel="0" collapsed="false">
      <c r="B27" s="3" t="s">
        <v>42</v>
      </c>
      <c r="C27" s="8" t="s">
        <v>43</v>
      </c>
    </row>
    <row r="29" customFormat="false" ht="15" hidden="false" customHeight="false" outlineLevel="0" collapsed="false">
      <c r="B29" s="6" t="s">
        <v>44</v>
      </c>
      <c r="C29" s="7"/>
    </row>
    <row r="30" customFormat="false" ht="45" hidden="false" customHeight="true" outlineLevel="0" collapsed="false">
      <c r="B30" s="3" t="s">
        <v>45</v>
      </c>
      <c r="C30" s="8" t="s">
        <v>46</v>
      </c>
    </row>
    <row r="31" customFormat="false" ht="30" hidden="false" customHeight="true" outlineLevel="0" collapsed="false">
      <c r="B31" s="3" t="s">
        <v>47</v>
      </c>
      <c r="C31" s="8" t="s">
        <v>48</v>
      </c>
    </row>
    <row r="32" customFormat="false" ht="45" hidden="false" customHeight="true" outlineLevel="0" collapsed="false">
      <c r="B32" s="3" t="s">
        <v>49</v>
      </c>
      <c r="C32" s="8" t="s">
        <v>50</v>
      </c>
    </row>
    <row r="33" customFormat="false" ht="30" hidden="false" customHeight="true" outlineLevel="0" collapsed="false">
      <c r="B33" s="3" t="s">
        <v>12</v>
      </c>
      <c r="C33" s="8" t="s">
        <v>51</v>
      </c>
    </row>
    <row r="34" customFormat="false" ht="30" hidden="false" customHeight="true" outlineLevel="0" collapsed="false">
      <c r="B34" s="3" t="s">
        <v>52</v>
      </c>
      <c r="C34" s="8" t="s">
        <v>53</v>
      </c>
    </row>
    <row r="35" customFormat="false" ht="30" hidden="false" customHeight="true" outlineLevel="0" collapsed="false">
      <c r="B35" s="3" t="s">
        <v>40</v>
      </c>
      <c r="C35" s="8" t="s">
        <v>54</v>
      </c>
    </row>
    <row r="36" customFormat="false" ht="60" hidden="false" customHeight="true" outlineLevel="0" collapsed="false">
      <c r="B36" s="3" t="s">
        <v>55</v>
      </c>
      <c r="C36" s="8" t="s">
        <v>56</v>
      </c>
    </row>
    <row r="37" customFormat="false" ht="45" hidden="false" customHeight="true" outlineLevel="0" collapsed="false">
      <c r="B37" s="3" t="s">
        <v>57</v>
      </c>
      <c r="C37" s="8" t="s">
        <v>58</v>
      </c>
    </row>
    <row r="38" customFormat="false" ht="15" hidden="false" customHeight="true" outlineLevel="0" collapsed="false">
      <c r="B38" s="3" t="s">
        <v>59</v>
      </c>
      <c r="C38" s="8" t="s">
        <v>60</v>
      </c>
    </row>
    <row r="39" customFormat="false" ht="60" hidden="false" customHeight="true" outlineLevel="0" collapsed="false">
      <c r="B39" s="3" t="s">
        <v>61</v>
      </c>
      <c r="C39" s="8" t="s">
        <v>62</v>
      </c>
    </row>
    <row r="40" customFormat="false" ht="45" hidden="false" customHeight="true" outlineLevel="0" collapsed="false">
      <c r="B40" s="3" t="s">
        <v>63</v>
      </c>
      <c r="C40" s="8" t="s">
        <v>64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65</v>
      </c>
    </row>
    <row r="2" customFormat="false" ht="15" hidden="false" customHeight="false" outlineLevel="0" collapsed="false">
      <c r="B2" s="10" t="s">
        <v>66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83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84</v>
      </c>
      <c r="C9" s="17" t="s">
        <v>85</v>
      </c>
      <c r="G9" s="18" t="n">
        <v>-0.05</v>
      </c>
      <c r="I9" s="18" t="n">
        <v>0</v>
      </c>
      <c r="K9" s="19"/>
      <c r="L9" s="19"/>
      <c r="M9" s="19"/>
      <c r="N9" s="19"/>
      <c r="O9" s="19"/>
      <c r="P9" s="20" t="s">
        <v>86</v>
      </c>
    </row>
    <row r="10" customFormat="false" ht="15" hidden="false" customHeight="false" outlineLevel="0" collapsed="false">
      <c r="B10" s="4" t="s">
        <v>87</v>
      </c>
      <c r="C10" s="17" t="s">
        <v>88</v>
      </c>
      <c r="I10" s="21" t="n">
        <v>38.3</v>
      </c>
      <c r="K10" s="22"/>
      <c r="L10" s="22"/>
      <c r="M10" s="22"/>
      <c r="N10" s="22"/>
      <c r="O10" s="22"/>
      <c r="P10" s="20" t="s">
        <v>89</v>
      </c>
    </row>
    <row r="11" customFormat="false" ht="15" hidden="false" customHeight="false" outlineLevel="0" collapsed="false">
      <c r="B11" s="6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customFormat="false" ht="15" hidden="false" customHeight="false" outlineLevel="0" collapsed="false">
      <c r="B12" s="4" t="s">
        <v>91</v>
      </c>
      <c r="C12" s="17" t="s">
        <v>85</v>
      </c>
      <c r="D12" s="23" t="n">
        <f aca="false">IS!D11/IS!D8</f>
        <v>0.279102692971352</v>
      </c>
      <c r="E12" s="23" t="n">
        <f aca="false">IS!E11/IS!E8</f>
        <v>0.273504081061352</v>
      </c>
      <c r="F12" s="23" t="n">
        <f aca="false">IS!F11/IS!F8</f>
        <v>0.268394318587688</v>
      </c>
      <c r="G12" s="23" t="n">
        <f aca="false">IS!G11/IS!G8</f>
        <v>0.280478334201282</v>
      </c>
      <c r="H12" s="23" t="n">
        <f aca="false">IS!H11/IS!H8</f>
        <v>0.287492124730905</v>
      </c>
      <c r="I12" s="23" t="n">
        <f aca="false">IS!I11/IS!I8</f>
        <v>0.276668566130336</v>
      </c>
      <c r="J12" s="23" t="n">
        <f aca="false">IS!J11/IS!J8</f>
        <v>0.275115117720818</v>
      </c>
      <c r="K12" s="19"/>
      <c r="L12" s="19"/>
      <c r="M12" s="19"/>
      <c r="N12" s="19"/>
      <c r="O12" s="19"/>
      <c r="P12" s="20" t="s">
        <v>92</v>
      </c>
    </row>
    <row r="13" customFormat="false" ht="15" hidden="false" customHeight="false" outlineLevel="0" collapsed="false">
      <c r="B13" s="4" t="s">
        <v>93</v>
      </c>
      <c r="C13" s="17" t="s">
        <v>85</v>
      </c>
      <c r="D13" s="23" t="n">
        <f aca="false">IS!D13/IS!D8</f>
        <v>0.167902700229739</v>
      </c>
      <c r="E13" s="23" t="n">
        <f aca="false">IS!E13/IS!E8</f>
        <v>0.16797722936497</v>
      </c>
      <c r="F13" s="23" t="n">
        <f aca="false">IS!F13/IS!F8</f>
        <v>0.169780149605221</v>
      </c>
      <c r="G13" s="23" t="n">
        <f aca="false">IS!G13/IS!G8</f>
        <v>0.184808454972794</v>
      </c>
      <c r="H13" s="23" t="n">
        <f aca="false">IS!H13/IS!H8</f>
        <v>0.184103755418074</v>
      </c>
      <c r="I13" s="23" t="n">
        <f aca="false">IS!I13/IS!I8</f>
        <v>0.184678722625801</v>
      </c>
      <c r="J13" s="23" t="n">
        <f aca="false">IS!J13/IS!J8</f>
        <v>0.185091336999362</v>
      </c>
      <c r="K13" s="19"/>
      <c r="L13" s="19"/>
      <c r="M13" s="19"/>
      <c r="N13" s="19"/>
      <c r="O13" s="19"/>
      <c r="P13" s="20" t="s">
        <v>94</v>
      </c>
    </row>
    <row r="14" customFormat="false" ht="15" hidden="false" customHeight="false" outlineLevel="0" collapsed="false">
      <c r="B14" s="4" t="s">
        <v>95</v>
      </c>
      <c r="C14" s="17" t="s">
        <v>85</v>
      </c>
      <c r="E14" s="23" t="n">
        <f aca="false">IS!E14/IS!D14-1</f>
        <v>0.154646905738609</v>
      </c>
      <c r="F14" s="23" t="n">
        <f aca="false">IS!F14/IS!E14-1</f>
        <v>0.165183176070596</v>
      </c>
      <c r="G14" s="23" t="n">
        <f aca="false">IS!G14/IS!F14-1</f>
        <v>-0.0897019769843612</v>
      </c>
      <c r="K14" s="19"/>
      <c r="L14" s="19"/>
      <c r="M14" s="19"/>
      <c r="N14" s="19"/>
      <c r="O14" s="19"/>
      <c r="P14" s="20" t="s">
        <v>96</v>
      </c>
    </row>
    <row r="15" customFormat="false" ht="15" hidden="false" customHeight="false" outlineLevel="0" collapsed="false">
      <c r="B15" s="4" t="s">
        <v>97</v>
      </c>
      <c r="C15" s="17" t="s">
        <v>85</v>
      </c>
      <c r="D15" s="23" t="n">
        <f aca="false">IS!D32/IS!D8</f>
        <v>0.0043554442847355</v>
      </c>
      <c r="E15" s="23" t="n">
        <f aca="false">IS!E32/IS!E8</f>
        <v>0.00481756212135836</v>
      </c>
      <c r="F15" s="23" t="n">
        <f aca="false">IS!F32/IS!F8</f>
        <v>0.00535840133719823</v>
      </c>
      <c r="G15" s="23" t="n">
        <f aca="false">IS!G32/IS!G8</f>
        <v>0.00604368660462559</v>
      </c>
      <c r="H15" s="23" t="n">
        <f aca="false">IS!H32/IS!H8</f>
        <v>0.00603501628483207</v>
      </c>
      <c r="I15" s="23" t="n">
        <f aca="false">IS!I32/IS!I8</f>
        <v>0.00603182797401446</v>
      </c>
      <c r="J15" s="23" t="n">
        <f aca="false">IS!J32/IS!J8</f>
        <v>0.00604204139391466</v>
      </c>
      <c r="K15" s="19"/>
      <c r="L15" s="19"/>
      <c r="M15" s="19"/>
      <c r="N15" s="19"/>
      <c r="O15" s="19"/>
      <c r="P15" s="20" t="s">
        <v>98</v>
      </c>
    </row>
    <row r="16" customFormat="false" ht="15" hidden="false" customHeight="false" outlineLevel="0" collapsed="false">
      <c r="B16" s="4" t="s">
        <v>99</v>
      </c>
      <c r="C16" s="17" t="s">
        <v>85</v>
      </c>
      <c r="D16" s="23" t="n">
        <f aca="false">IS!D19/IS!D18</f>
        <v>0.151573462195553</v>
      </c>
      <c r="E16" s="23" t="n">
        <f aca="false">IS!E19/IS!E18</f>
        <v>0.197180620086341</v>
      </c>
      <c r="F16" s="23" t="n">
        <f aca="false">IS!F19/IS!F18</f>
        <v>0.207942749213848</v>
      </c>
      <c r="G16" s="23" t="n">
        <f aca="false">IS!G19/IS!G18</f>
        <v>0.203460597877659</v>
      </c>
      <c r="H16" s="23" t="n">
        <f aca="false">IS!H19/IS!H18</f>
        <v>0.205447635674051</v>
      </c>
      <c r="I16" s="23" t="n">
        <f aca="false">IS!I19/IS!I18</f>
        <v>0.207159035122953</v>
      </c>
      <c r="J16" s="23" t="n">
        <f aca="false">IS!J19/IS!J18</f>
        <v>0.2042377393045</v>
      </c>
      <c r="K16" s="19"/>
      <c r="L16" s="19"/>
      <c r="M16" s="19"/>
      <c r="N16" s="19"/>
      <c r="O16" s="19"/>
      <c r="P16" s="20" t="s">
        <v>100</v>
      </c>
    </row>
    <row r="17" customFormat="false" ht="15" hidden="false" customHeight="false" outlineLevel="0" collapsed="false">
      <c r="B17" s="4" t="s">
        <v>101</v>
      </c>
      <c r="C17" s="17" t="s">
        <v>85</v>
      </c>
      <c r="D17" s="23" t="n">
        <f aca="false">IS!D21/IS!D20</f>
        <v>0.145700700302403</v>
      </c>
      <c r="E17" s="23" t="n">
        <f aca="false">IS!E21/IS!E20</f>
        <v>0.154228016255111</v>
      </c>
      <c r="F17" s="23" t="n">
        <f aca="false">IS!F21/IS!F20</f>
        <v>0.156438166546072</v>
      </c>
      <c r="G17" s="23" t="n">
        <f aca="false">IS!G21/IS!G20</f>
        <v>0.154179459076768</v>
      </c>
      <c r="H17" s="23" t="n">
        <f aca="false">IS!H21/IS!H20</f>
        <v>0.153012450691919</v>
      </c>
      <c r="I17" s="23" t="n">
        <f aca="false">IS!I21/IS!I20</f>
        <v>0.14717336926503</v>
      </c>
      <c r="J17" s="23" t="n">
        <f aca="false">IS!J21/IS!J20</f>
        <v>0.151274791578579</v>
      </c>
      <c r="K17" s="19"/>
      <c r="L17" s="19"/>
      <c r="M17" s="19"/>
      <c r="N17" s="19"/>
      <c r="O17" s="19"/>
      <c r="P17" s="20" t="s">
        <v>102</v>
      </c>
    </row>
    <row r="18" customFormat="false" ht="15" hidden="false" customHeight="false" outlineLevel="0" collapsed="false">
      <c r="B18" s="4" t="s">
        <v>103</v>
      </c>
      <c r="C18" s="17" t="s">
        <v>85</v>
      </c>
      <c r="D18" s="23" t="n">
        <f aca="false">IS!D24/IS!D22</f>
        <v>0.0853240447329944</v>
      </c>
      <c r="E18" s="23" t="n">
        <f aca="false">IS!E24/IS!E22</f>
        <v>0.0688596908287141</v>
      </c>
      <c r="F18" s="23" t="n">
        <f aca="false">IS!F24/IS!F22</f>
        <v>0.069681102993552</v>
      </c>
      <c r="G18" s="23" t="n">
        <f aca="false">IS!G24/IS!G22</f>
        <v>0.0660108572739309</v>
      </c>
      <c r="H18" s="23" t="n">
        <f aca="false">IS!H24/IS!H22</f>
        <v>0.0660247123341703</v>
      </c>
      <c r="I18" s="23" t="n">
        <f aca="false">IS!I24/IS!I22</f>
        <v>0.0695309599438967</v>
      </c>
      <c r="K18" s="19"/>
      <c r="L18" s="19"/>
      <c r="M18" s="19"/>
      <c r="N18" s="19"/>
      <c r="O18" s="19"/>
      <c r="P18" s="20" t="s">
        <v>104</v>
      </c>
    </row>
    <row r="19" customFormat="false" ht="15" hidden="false" customHeight="false" outlineLevel="0" collapsed="false">
      <c r="B19" s="4" t="s">
        <v>105</v>
      </c>
      <c r="C19" s="17" t="s">
        <v>85</v>
      </c>
      <c r="K19" s="19"/>
      <c r="L19" s="19"/>
      <c r="M19" s="19"/>
      <c r="N19" s="19"/>
      <c r="O19" s="19"/>
      <c r="P19" s="20" t="s">
        <v>106</v>
      </c>
    </row>
    <row r="20" customFormat="false" ht="15" hidden="false" customHeight="false" outlineLevel="0" collapsed="false">
      <c r="B20" s="6" t="s">
        <v>107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Format="false" ht="15" hidden="false" customHeight="false" outlineLevel="0" collapsed="false">
      <c r="B21" s="4" t="s">
        <v>108</v>
      </c>
      <c r="C21" s="17" t="s">
        <v>109</v>
      </c>
      <c r="D21" s="24" t="n">
        <f aca="false">'Revenue &amp; WC build'!D21</f>
        <v>37.4872497093896</v>
      </c>
      <c r="E21" s="24" t="n">
        <f aca="false">'Revenue &amp; WC build'!E21</f>
        <v>39.9805045932963</v>
      </c>
      <c r="F21" s="24" t="n">
        <f aca="false">'Revenue &amp; WC build'!F21</f>
        <v>42.0626071348829</v>
      </c>
      <c r="G21" s="24" t="n">
        <f aca="false">'Revenue &amp; WC build'!G21</f>
        <v>40.1428959193512</v>
      </c>
      <c r="K21" s="22"/>
      <c r="L21" s="22"/>
      <c r="M21" s="22"/>
      <c r="N21" s="22"/>
      <c r="O21" s="22"/>
      <c r="P21" s="20" t="s">
        <v>110</v>
      </c>
    </row>
    <row r="22" customFormat="false" ht="15" hidden="false" customHeight="false" outlineLevel="0" collapsed="false">
      <c r="B22" s="4" t="s">
        <v>111</v>
      </c>
      <c r="C22" s="17" t="s">
        <v>109</v>
      </c>
      <c r="D22" s="24" t="n">
        <f aca="false">'Revenue &amp; WC build'!D22</f>
        <v>95.3676391647304</v>
      </c>
      <c r="E22" s="24" t="n">
        <f aca="false">'Revenue &amp; WC build'!E22</f>
        <v>92.9318118983065</v>
      </c>
      <c r="F22" s="24" t="n">
        <f aca="false">'Revenue &amp; WC build'!F22</f>
        <v>90.7283940516764</v>
      </c>
      <c r="G22" s="24" t="n">
        <f aca="false">'Revenue &amp; WC build'!G22</f>
        <v>97.143906323613</v>
      </c>
      <c r="K22" s="22"/>
      <c r="L22" s="22"/>
      <c r="M22" s="22"/>
      <c r="N22" s="22"/>
      <c r="O22" s="22"/>
      <c r="P22" s="20" t="s">
        <v>112</v>
      </c>
    </row>
    <row r="23" customFormat="false" ht="15" hidden="false" customHeight="false" outlineLevel="0" collapsed="false">
      <c r="B23" s="4" t="s">
        <v>113</v>
      </c>
      <c r="C23" s="17" t="s">
        <v>109</v>
      </c>
      <c r="D23" s="24" t="n">
        <f aca="false">'Revenue &amp; WC build'!D23</f>
        <v>31.7477066888124</v>
      </c>
      <c r="E23" s="24" t="n">
        <f aca="false">'Revenue &amp; WC build'!E23</f>
        <v>25.4797891083404</v>
      </c>
      <c r="F23" s="24" t="n">
        <f aca="false">'Revenue &amp; WC build'!F23</f>
        <v>32.1463159205426</v>
      </c>
      <c r="G23" s="24" t="n">
        <f aca="false">'Revenue &amp; WC build'!G23</f>
        <v>24.5554612498095</v>
      </c>
      <c r="K23" s="22"/>
      <c r="L23" s="22"/>
      <c r="M23" s="22"/>
      <c r="N23" s="22"/>
      <c r="O23" s="22"/>
      <c r="P23" s="20" t="s">
        <v>114</v>
      </c>
    </row>
    <row r="24" customFormat="false" ht="15" hidden="false" customHeight="false" outlineLevel="0" collapsed="false">
      <c r="B24" s="4" t="s">
        <v>115</v>
      </c>
      <c r="C24" s="17" t="s">
        <v>85</v>
      </c>
      <c r="D24" s="23" t="n">
        <f aca="false">BS!D25/IS!D8</f>
        <v>0.041707815852536</v>
      </c>
      <c r="E24" s="23" t="n">
        <f aca="false">BS!E25/IS!E8</f>
        <v>0.0332727557045688</v>
      </c>
      <c r="F24" s="23" t="n">
        <f aca="false">BS!F25/IS!F8</f>
        <v>0.0502406240118388</v>
      </c>
      <c r="G24" s="23" t="n">
        <f aca="false">BS!G25/IS!G8</f>
        <v>0.0345564274949615</v>
      </c>
      <c r="K24" s="19"/>
      <c r="L24" s="19"/>
      <c r="M24" s="19"/>
      <c r="N24" s="19"/>
      <c r="O24" s="19"/>
      <c r="P24" s="20" t="s">
        <v>116</v>
      </c>
    </row>
    <row r="25" customFormat="false" ht="15" hidden="false" customHeight="false" outlineLevel="0" collapsed="false">
      <c r="B25" s="4" t="s">
        <v>117</v>
      </c>
      <c r="C25" s="17" t="s">
        <v>85</v>
      </c>
      <c r="D25" s="25" t="n">
        <f aca="false">BS!D13/IS!D8</f>
        <v>0.00466722497588786</v>
      </c>
      <c r="E25" s="25" t="n">
        <f aca="false">BS!E13/IS!E8</f>
        <v>0.0050383270085383</v>
      </c>
      <c r="F25" s="25" t="n">
        <f aca="false">BS!F13/IS!F8</f>
        <v>0.00455087390036408</v>
      </c>
      <c r="G25" s="25" t="n">
        <f aca="false">BS!G13/IS!G8</f>
        <v>0.0053492814903119</v>
      </c>
      <c r="K25" s="26"/>
      <c r="L25" s="26"/>
      <c r="M25" s="26"/>
      <c r="N25" s="26"/>
      <c r="O25" s="26"/>
      <c r="P25" s="20" t="s">
        <v>118</v>
      </c>
    </row>
    <row r="26" customFormat="false" ht="15" hidden="false" customHeight="false" outlineLevel="0" collapsed="false">
      <c r="B26" s="4" t="s">
        <v>119</v>
      </c>
      <c r="C26" s="17" t="s">
        <v>85</v>
      </c>
      <c r="D26" s="23" t="n">
        <f aca="false">BS!D16/IS!D8</f>
        <v>0.043620978056578</v>
      </c>
      <c r="E26" s="23" t="n">
        <f aca="false">BS!E16/IS!E8</f>
        <v>0.0506260016280038</v>
      </c>
      <c r="F26" s="23" t="n">
        <f aca="false">BS!F16/IS!F8</f>
        <v>0.0550171382997058</v>
      </c>
      <c r="G26" s="23" t="n">
        <f aca="false">BS!G16/IS!G8</f>
        <v>0.0625126220941557</v>
      </c>
      <c r="K26" s="19"/>
      <c r="L26" s="19"/>
      <c r="M26" s="19"/>
      <c r="N26" s="19"/>
      <c r="O26" s="19"/>
      <c r="P26" s="20" t="s">
        <v>120</v>
      </c>
    </row>
    <row r="27" customFormat="false" ht="15" hidden="false" customHeight="false" outlineLevel="0" collapsed="false">
      <c r="B27" s="4" t="s">
        <v>121</v>
      </c>
      <c r="C27" s="17" t="s">
        <v>122</v>
      </c>
      <c r="D27" s="27" t="n">
        <f aca="false">(BS!D23+BS!D28)/BS!D16</f>
        <v>1.0171029327417</v>
      </c>
      <c r="E27" s="27" t="n">
        <f aca="false">(BS!E23+BS!E28)/BS!E16</f>
        <v>1.02286114094178</v>
      </c>
      <c r="F27" s="27" t="n">
        <f aca="false">(BS!F23+BS!F28)/BS!F16</f>
        <v>1.03065816031951</v>
      </c>
      <c r="G27" s="27" t="n">
        <f aca="false">(BS!G23+BS!G28)/BS!G16</f>
        <v>1.03363628529191</v>
      </c>
      <c r="K27" s="28"/>
      <c r="L27" s="28"/>
      <c r="M27" s="28"/>
      <c r="N27" s="28"/>
      <c r="O27" s="28"/>
      <c r="P27" s="20" t="s">
        <v>123</v>
      </c>
    </row>
    <row r="28" customFormat="false" ht="15" hidden="false" customHeight="false" outlineLevel="0" collapsed="false">
      <c r="B28" s="4" t="s">
        <v>124</v>
      </c>
      <c r="C28" s="17" t="s">
        <v>85</v>
      </c>
      <c r="D28" s="23" t="n">
        <f aca="false">BS!D23/(BS!D23+BS!D28)</f>
        <v>0.280711158483118</v>
      </c>
      <c r="E28" s="23" t="n">
        <f aca="false">BS!E23/(BS!E23+BS!E28)</f>
        <v>0.265829396200203</v>
      </c>
      <c r="F28" s="23" t="n">
        <f aca="false">BS!F23/(BS!F23+BS!F28)</f>
        <v>0.255268664870321</v>
      </c>
      <c r="G28" s="23" t="n">
        <f aca="false">BS!G23/(BS!G23+BS!G28)</f>
        <v>0.250450542896173</v>
      </c>
      <c r="K28" s="19"/>
      <c r="L28" s="19"/>
      <c r="M28" s="19"/>
      <c r="N28" s="19"/>
      <c r="O28" s="19"/>
      <c r="P28" s="20" t="s">
        <v>125</v>
      </c>
    </row>
    <row r="29" customFormat="false" ht="15" hidden="false" customHeight="false" outlineLevel="0" collapsed="false">
      <c r="B29" s="6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customFormat="false" ht="15" hidden="false" customHeight="false" outlineLevel="0" collapsed="false">
      <c r="B30" s="4" t="s">
        <v>127</v>
      </c>
      <c r="C30" s="17" t="s">
        <v>85</v>
      </c>
      <c r="D30" s="25" t="n">
        <f aca="false">-CF!D22/IS!D8</f>
        <v>0.00490106049425213</v>
      </c>
      <c r="E30" s="25" t="n">
        <f aca="false">-CF!E22/IS!E8</f>
        <v>0.00487083126080228</v>
      </c>
      <c r="F30" s="25" t="n">
        <f aca="false">-CF!F22/IS!F8</f>
        <v>0.00394969125070537</v>
      </c>
      <c r="G30" s="25" t="n">
        <f aca="false">-CF!G22/IS!G8</f>
        <v>0.00477256747553973</v>
      </c>
      <c r="H30" s="25" t="n">
        <f aca="false">-CF!H22/IS!H8</f>
        <v>0.00400108194509685</v>
      </c>
      <c r="I30" s="25" t="n">
        <f aca="false">-CF!I22/IS!I8</f>
        <v>0.00438443495354011</v>
      </c>
      <c r="K30" s="26"/>
      <c r="L30" s="26"/>
      <c r="M30" s="26"/>
      <c r="N30" s="26"/>
      <c r="O30" s="26"/>
      <c r="P30" s="20" t="s">
        <v>128</v>
      </c>
    </row>
    <row r="31" customFormat="false" ht="15" hidden="false" customHeight="false" outlineLevel="0" collapsed="false">
      <c r="B31" s="4" t="s">
        <v>129</v>
      </c>
      <c r="C31" s="17" t="s">
        <v>88</v>
      </c>
      <c r="D31" s="24" t="n">
        <f aca="false">-CF!D23</f>
        <v>0.047</v>
      </c>
      <c r="E31" s="24" t="n">
        <f aca="false">-CF!E23</f>
        <v>3.822</v>
      </c>
      <c r="F31" s="24" t="n">
        <f aca="false">-CF!F23</f>
        <v>5.173</v>
      </c>
      <c r="G31" s="24" t="n">
        <f aca="false">-CF!G23</f>
        <v>19.198</v>
      </c>
      <c r="H31" s="24" t="n">
        <f aca="false">-CF!H23</f>
        <v>19.383</v>
      </c>
      <c r="I31" s="24" t="n">
        <f aca="false">-CF!I23</f>
        <v>-7.663</v>
      </c>
      <c r="K31" s="22"/>
      <c r="L31" s="22"/>
      <c r="M31" s="22"/>
      <c r="N31" s="22"/>
      <c r="O31" s="22"/>
      <c r="P31" s="20" t="s">
        <v>130</v>
      </c>
    </row>
    <row r="32" customFormat="false" ht="15" hidden="false" customHeight="false" outlineLevel="0" collapsed="false">
      <c r="B32" s="4" t="s">
        <v>131</v>
      </c>
      <c r="C32" s="17" t="s">
        <v>88</v>
      </c>
      <c r="I32" s="21" t="n">
        <v>186.2</v>
      </c>
      <c r="K32" s="22"/>
      <c r="L32" s="22"/>
      <c r="M32" s="22"/>
      <c r="N32" s="22"/>
      <c r="O32" s="22"/>
      <c r="P32" s="20" t="s">
        <v>132</v>
      </c>
    </row>
    <row r="33" customFormat="false" ht="15" hidden="false" customHeight="false" outlineLevel="0" collapsed="false">
      <c r="B33" s="6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customFormat="false" ht="15" hidden="false" customHeight="false" outlineLevel="0" collapsed="false">
      <c r="B34" s="4" t="s">
        <v>134</v>
      </c>
      <c r="C34" s="17" t="s">
        <v>135</v>
      </c>
      <c r="D34" s="29" t="n">
        <f aca="false">IS!D29</f>
        <v>8.55</v>
      </c>
      <c r="E34" s="29" t="n">
        <f aca="false">IS!E29</f>
        <v>9.8</v>
      </c>
      <c r="F34" s="29" t="n">
        <f aca="false">IS!F29</f>
        <v>10.55</v>
      </c>
      <c r="G34" s="29" t="n">
        <f aca="false">IS!G29</f>
        <v>11.7</v>
      </c>
      <c r="H34" s="29" t="n">
        <f aca="false">IS!H29</f>
        <v>5.7</v>
      </c>
      <c r="I34" s="29" t="n">
        <f aca="false">IS!I29</f>
        <v>6.3</v>
      </c>
      <c r="K34" s="30"/>
      <c r="L34" s="30"/>
      <c r="M34" s="30"/>
      <c r="N34" s="30"/>
      <c r="O34" s="30"/>
      <c r="P34" s="20" t="s">
        <v>136</v>
      </c>
    </row>
    <row r="35" customFormat="false" ht="15" hidden="false" customHeight="false" outlineLevel="0" collapsed="false">
      <c r="B35" s="4" t="s">
        <v>137</v>
      </c>
      <c r="C35" s="17" t="s">
        <v>138</v>
      </c>
      <c r="D35" s="31" t="n">
        <f aca="false">-CF!D28/IS!D29</f>
        <v>38.8826900584795</v>
      </c>
      <c r="E35" s="31" t="n">
        <f aca="false">-CF!E28/IS!E29</f>
        <v>39.0455102040816</v>
      </c>
      <c r="F35" s="31" t="n">
        <f aca="false">-CF!F28/IS!F29</f>
        <v>40.1441706161137</v>
      </c>
      <c r="G35" s="31" t="n">
        <f aca="false">-CF!G28/IS!G29</f>
        <v>40.492735042735</v>
      </c>
      <c r="H35" s="31" t="n">
        <f aca="false">-CF!H28/IS!H29</f>
        <v>40.4380701754386</v>
      </c>
      <c r="I35" s="31" t="n">
        <f aca="false">-CF!I28/IS!I29</f>
        <v>40.6222222222222</v>
      </c>
      <c r="K35" s="32"/>
      <c r="L35" s="32"/>
      <c r="M35" s="32"/>
      <c r="N35" s="32"/>
      <c r="O35" s="32"/>
      <c r="P35" s="20" t="s">
        <v>139</v>
      </c>
    </row>
    <row r="36" customFormat="false" ht="15" hidden="false" customHeight="false" outlineLevel="0" collapsed="false">
      <c r="B36" s="4" t="s">
        <v>140</v>
      </c>
      <c r="C36" s="17" t="s">
        <v>138</v>
      </c>
      <c r="D36" s="33" t="n">
        <f aca="false">IS!D27</f>
        <v>35.683634</v>
      </c>
      <c r="E36" s="33" t="n">
        <f aca="false">IS!E27</f>
        <v>36.531683</v>
      </c>
      <c r="F36" s="33" t="n">
        <f aca="false">IS!F27</f>
        <v>37.510332</v>
      </c>
      <c r="G36" s="33" t="n">
        <f aca="false">IS!G27</f>
        <v>37.899859</v>
      </c>
      <c r="H36" s="33" t="n">
        <f aca="false">IS!H27</f>
        <v>37.87647</v>
      </c>
      <c r="I36" s="33" t="n">
        <f aca="false">IS!I27</f>
        <v>38.079266</v>
      </c>
      <c r="K36" s="32"/>
      <c r="L36" s="32"/>
      <c r="M36" s="32"/>
      <c r="N36" s="32"/>
      <c r="O36" s="32"/>
      <c r="P36" s="20" t="s">
        <v>141</v>
      </c>
    </row>
    <row r="37" customFormat="false" ht="15" hidden="false" customHeight="false" outlineLevel="0" collapsed="false">
      <c r="B37" s="4" t="s">
        <v>142</v>
      </c>
      <c r="C37" s="17" t="s">
        <v>85</v>
      </c>
      <c r="D37" s="25" t="n">
        <f aca="false">CF!D11/IS!D8</f>
        <v>0.00396200674590039</v>
      </c>
      <c r="E37" s="25" t="n">
        <f aca="false">CF!E11/IS!E8</f>
        <v>0.00411874789514821</v>
      </c>
      <c r="F37" s="25" t="n">
        <f aca="false">CF!F11/IS!F8</f>
        <v>0.00459707833108021</v>
      </c>
      <c r="G37" s="25" t="n">
        <f aca="false">CF!G11/IS!G8</f>
        <v>0.00488224673966646</v>
      </c>
      <c r="H37" s="25" t="n">
        <f aca="false">CF!H11/IS!H8</f>
        <v>0.00490103319078076</v>
      </c>
      <c r="I37" s="25" t="n">
        <f aca="false">CF!I11/IS!I8</f>
        <v>0.00459362335477171</v>
      </c>
      <c r="K37" s="26"/>
      <c r="L37" s="26"/>
      <c r="M37" s="26"/>
      <c r="N37" s="26"/>
      <c r="O37" s="26"/>
      <c r="P37" s="20" t="s">
        <v>143</v>
      </c>
    </row>
    <row r="38" customFormat="false" ht="15" hidden="false" customHeight="false" outlineLevel="0" collapsed="false">
      <c r="B38" s="4" t="s">
        <v>144</v>
      </c>
      <c r="C38" s="17" t="s">
        <v>88</v>
      </c>
      <c r="D38" s="24" t="n">
        <f aca="false">CF!D12</f>
        <v>6.746</v>
      </c>
      <c r="E38" s="24" t="n">
        <f aca="false">CF!E12</f>
        <v>8.862</v>
      </c>
      <c r="F38" s="24" t="n">
        <f aca="false">CF!F12</f>
        <v>8.735</v>
      </c>
      <c r="G38" s="24" t="n">
        <f aca="false">CF!G12</f>
        <v>8.743</v>
      </c>
      <c r="K38" s="22"/>
      <c r="L38" s="22"/>
      <c r="M38" s="22"/>
      <c r="N38" s="22"/>
      <c r="O38" s="22"/>
      <c r="P38" s="20" t="s">
        <v>145</v>
      </c>
    </row>
    <row r="39" customFormat="false" ht="15" hidden="false" customHeight="false" outlineLevel="0" collapsed="false">
      <c r="B39" s="4" t="s">
        <v>146</v>
      </c>
      <c r="C39" s="17" t="s">
        <v>88</v>
      </c>
      <c r="D39" s="24" t="n">
        <f aca="false">CF!D33</f>
        <v>20.422</v>
      </c>
      <c r="E39" s="24" t="n">
        <f aca="false">CF!E33</f>
        <v>44.306</v>
      </c>
      <c r="F39" s="24" t="n">
        <f aca="false">CF!F33</f>
        <v>326.091</v>
      </c>
      <c r="G39" s="24" t="n">
        <f aca="false">CF!G33</f>
        <v>46.477</v>
      </c>
      <c r="H39" s="24" t="n">
        <f aca="false">CF!H33</f>
        <v>28.204</v>
      </c>
      <c r="I39" s="24" t="n">
        <f aca="false">CF!I33</f>
        <v>22.361</v>
      </c>
      <c r="K39" s="22"/>
      <c r="L39" s="22"/>
      <c r="M39" s="22"/>
      <c r="N39" s="22"/>
      <c r="O39" s="22"/>
      <c r="P39" s="20" t="s">
        <v>147</v>
      </c>
    </row>
    <row r="40" customFormat="false" ht="15" hidden="false" customHeight="false" outlineLevel="0" collapsed="false">
      <c r="B40" s="4" t="s">
        <v>148</v>
      </c>
      <c r="C40" s="17" t="s">
        <v>88</v>
      </c>
      <c r="D40" s="24" t="n">
        <f aca="false">-CF!D31</f>
        <v>87.107</v>
      </c>
      <c r="E40" s="24" t="n">
        <f aca="false">-CF!E31</f>
        <v>2.828</v>
      </c>
      <c r="F40" s="24" t="n">
        <f aca="false">-CF!F31</f>
        <v>39.673</v>
      </c>
      <c r="G40" s="24" t="n">
        <f aca="false">-CF!G31</f>
        <v>3.657</v>
      </c>
      <c r="K40" s="22"/>
      <c r="L40" s="22"/>
      <c r="M40" s="22"/>
      <c r="N40" s="22"/>
      <c r="O40" s="22"/>
      <c r="P40" s="20" t="s">
        <v>149</v>
      </c>
    </row>
    <row r="41" customFormat="false" ht="15" hidden="false" customHeight="false" outlineLevel="0" collapsed="false">
      <c r="B41" s="4" t="s">
        <v>150</v>
      </c>
      <c r="C41" s="17" t="s">
        <v>85</v>
      </c>
      <c r="D41" s="23" t="n">
        <f aca="false">-CF!D29/IS!D21</f>
        <v>0.674774941723805</v>
      </c>
      <c r="E41" s="23" t="n">
        <f aca="false">-CF!E29/IS!E21</f>
        <v>0.746600274023026</v>
      </c>
      <c r="F41" s="23" t="n">
        <f aca="false">-CF!F29/IS!F21</f>
        <v>-0</v>
      </c>
      <c r="G41" s="23" t="n">
        <f aca="false">-CF!G29/IS!G21</f>
        <v>1.44818641411131</v>
      </c>
      <c r="K41" s="19"/>
      <c r="L41" s="19"/>
      <c r="M41" s="19"/>
      <c r="N41" s="19"/>
      <c r="O41" s="19"/>
      <c r="P41" s="20" t="s">
        <v>151</v>
      </c>
    </row>
    <row r="42" customFormat="false" ht="15" hidden="false" customHeight="false" outlineLevel="0" collapsed="false">
      <c r="B42" s="4" t="s">
        <v>152</v>
      </c>
      <c r="C42" s="17" t="s">
        <v>88</v>
      </c>
      <c r="K42" s="22"/>
      <c r="L42" s="22"/>
      <c r="M42" s="22"/>
      <c r="N42" s="22"/>
      <c r="O42" s="22"/>
      <c r="P42" s="20" t="s">
        <v>153</v>
      </c>
    </row>
    <row r="43" customFormat="false" ht="15" hidden="false" customHeight="false" outlineLevel="0" collapsed="false">
      <c r="B43" s="4" t="s">
        <v>154</v>
      </c>
      <c r="C43" s="17" t="s">
        <v>85</v>
      </c>
      <c r="K43" s="26"/>
      <c r="L43" s="26"/>
      <c r="M43" s="26"/>
      <c r="N43" s="26"/>
      <c r="O43" s="26"/>
      <c r="P43" s="20" t="s">
        <v>155</v>
      </c>
    </row>
    <row r="44" customFormat="false" ht="15" hidden="false" customHeight="false" outlineLevel="0" collapsed="false">
      <c r="B44" s="4" t="s">
        <v>156</v>
      </c>
      <c r="C44" s="17" t="s">
        <v>85</v>
      </c>
      <c r="K44" s="26"/>
      <c r="L44" s="26"/>
      <c r="M44" s="26"/>
      <c r="N44" s="26"/>
      <c r="O44" s="26"/>
      <c r="P44" s="20" t="s">
        <v>157</v>
      </c>
    </row>
    <row r="46" customFormat="false" ht="15" hidden="false" customHeight="false" outlineLevel="0" collapsed="false">
      <c r="B46" s="6" t="s">
        <v>158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customFormat="false" ht="15" hidden="false" customHeight="false" outlineLevel="0" collapsed="false">
      <c r="B47" s="4" t="s">
        <v>159</v>
      </c>
      <c r="C47" s="17" t="s">
        <v>135</v>
      </c>
      <c r="D47" s="34" t="n">
        <v>279.9</v>
      </c>
      <c r="E47" s="17" t="s">
        <v>160</v>
      </c>
    </row>
    <row r="48" customFormat="false" ht="15" hidden="false" customHeight="false" outlineLevel="0" collapsed="false">
      <c r="B48" s="4" t="s">
        <v>161</v>
      </c>
      <c r="C48" s="17" t="s">
        <v>135</v>
      </c>
      <c r="D48" s="34" t="n">
        <v>459</v>
      </c>
      <c r="E48" s="17" t="s">
        <v>162</v>
      </c>
    </row>
    <row r="49" customFormat="false" ht="15" hidden="false" customHeight="false" outlineLevel="0" collapsed="false">
      <c r="B49" s="4" t="s">
        <v>163</v>
      </c>
      <c r="C49" s="17" t="s">
        <v>135</v>
      </c>
      <c r="D49" s="34" t="n">
        <v>277.34</v>
      </c>
      <c r="E49" s="17" t="s">
        <v>162</v>
      </c>
    </row>
    <row r="50" customFormat="false" ht="15" hidden="false" customHeight="false" outlineLevel="0" collapsed="false">
      <c r="B50" s="4" t="s">
        <v>164</v>
      </c>
      <c r="C50" s="17" t="s">
        <v>138</v>
      </c>
      <c r="D50" s="35" t="n">
        <v>41.252194</v>
      </c>
      <c r="E50" s="17" t="s">
        <v>165</v>
      </c>
    </row>
    <row r="51" customFormat="false" ht="15" hidden="false" customHeight="false" outlineLevel="0" collapsed="false">
      <c r="B51" s="4" t="s">
        <v>166</v>
      </c>
      <c r="C51" s="17" t="s">
        <v>138</v>
      </c>
      <c r="D51" s="36" t="n">
        <v>0.031081</v>
      </c>
      <c r="E51" s="17" t="s">
        <v>167</v>
      </c>
    </row>
    <row r="52" customFormat="false" ht="15" hidden="false" customHeight="false" outlineLevel="0" collapsed="false">
      <c r="B52" s="4" t="s">
        <v>168</v>
      </c>
      <c r="C52" s="17" t="s">
        <v>88</v>
      </c>
      <c r="D52" s="21" t="n">
        <v>464.189</v>
      </c>
      <c r="E52" s="17" t="s">
        <v>169</v>
      </c>
    </row>
    <row r="53" customFormat="false" ht="15" hidden="false" customHeight="false" outlineLevel="0" collapsed="false">
      <c r="B53" s="4" t="s">
        <v>170</v>
      </c>
      <c r="C53" s="17" t="s">
        <v>88</v>
      </c>
      <c r="D53" s="21" t="n">
        <v>13.961</v>
      </c>
      <c r="E53" s="17" t="s">
        <v>171</v>
      </c>
    </row>
    <row r="54" customFormat="false" ht="15" hidden="false" customHeight="false" outlineLevel="0" collapsed="false">
      <c r="B54" s="4" t="s">
        <v>172</v>
      </c>
      <c r="C54" s="17" t="s">
        <v>88</v>
      </c>
      <c r="D54" s="21" t="n">
        <v>0</v>
      </c>
      <c r="E54" s="17" t="s">
        <v>173</v>
      </c>
    </row>
    <row r="55" customFormat="false" ht="15" hidden="false" customHeight="false" outlineLevel="0" collapsed="false">
      <c r="B55" s="4" t="s">
        <v>174</v>
      </c>
      <c r="C55" s="17" t="s">
        <v>85</v>
      </c>
      <c r="D55" s="23" t="n">
        <f aca="false">K17</f>
        <v>0</v>
      </c>
      <c r="E55" s="17" t="s">
        <v>175</v>
      </c>
    </row>
    <row r="56" customFormat="false" ht="15" hidden="false" customHeight="false" outlineLevel="0" collapsed="false">
      <c r="B56" s="4" t="s">
        <v>176</v>
      </c>
      <c r="C56" s="17" t="s">
        <v>135</v>
      </c>
      <c r="D56" s="34" t="n">
        <v>3.3</v>
      </c>
      <c r="E56" s="17" t="s">
        <v>177</v>
      </c>
    </row>
    <row r="57" customFormat="false" ht="15" hidden="false" customHeight="false" outlineLevel="0" collapsed="false">
      <c r="B57" s="4" t="s">
        <v>178</v>
      </c>
      <c r="C57" s="17" t="s">
        <v>85</v>
      </c>
      <c r="D57" s="37" t="n">
        <v>0.0524</v>
      </c>
      <c r="E57" s="17" t="s">
        <v>179</v>
      </c>
    </row>
    <row r="58" customFormat="false" ht="15" hidden="false" customHeight="false" outlineLevel="0" collapsed="false">
      <c r="B58" s="4" t="s">
        <v>180</v>
      </c>
      <c r="C58" s="17" t="s">
        <v>85</v>
      </c>
      <c r="D58" s="37" t="n">
        <v>0.042</v>
      </c>
      <c r="E58" s="17" t="s">
        <v>181</v>
      </c>
    </row>
    <row r="59" customFormat="false" ht="15" hidden="false" customHeight="false" outlineLevel="0" collapsed="false">
      <c r="B59" s="4" t="s">
        <v>182</v>
      </c>
      <c r="C59" s="17" t="s">
        <v>85</v>
      </c>
      <c r="D59" s="37" t="n">
        <v>0.05</v>
      </c>
      <c r="E59" s="17" t="s">
        <v>183</v>
      </c>
    </row>
    <row r="60" customFormat="false" ht="15" hidden="false" customHeight="false" outlineLevel="0" collapsed="false">
      <c r="B60" s="4" t="s">
        <v>184</v>
      </c>
      <c r="C60" s="17" t="s">
        <v>85</v>
      </c>
      <c r="D60" s="18" t="n">
        <v>0.25</v>
      </c>
      <c r="E60" s="17" t="s">
        <v>185</v>
      </c>
    </row>
    <row r="61" customFormat="false" ht="15" hidden="false" customHeight="false" outlineLevel="0" collapsed="false">
      <c r="B61" s="4" t="s">
        <v>186</v>
      </c>
      <c r="C61" s="17" t="s">
        <v>85</v>
      </c>
      <c r="D61" s="26"/>
      <c r="E61" s="17" t="s">
        <v>187</v>
      </c>
    </row>
    <row r="62" customFormat="false" ht="15" hidden="false" customHeight="false" outlineLevel="0" collapsed="false">
      <c r="B62" s="4" t="s">
        <v>188</v>
      </c>
      <c r="C62" s="17" t="s">
        <v>122</v>
      </c>
      <c r="D62" s="38"/>
      <c r="E62" s="17" t="s">
        <v>187</v>
      </c>
    </row>
    <row r="63" customFormat="false" ht="15" hidden="false" customHeight="false" outlineLevel="0" collapsed="false">
      <c r="B63" s="4" t="s">
        <v>189</v>
      </c>
      <c r="C63" s="17" t="s">
        <v>85</v>
      </c>
      <c r="D63" s="37" t="n">
        <v>0.04</v>
      </c>
      <c r="E63" s="17" t="s">
        <v>190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191</v>
      </c>
    </row>
    <row r="2" customFormat="false" ht="15" hidden="false" customHeight="false" outlineLevel="0" collapsed="false">
      <c r="B2" s="10" t="s">
        <v>192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193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194</v>
      </c>
      <c r="C9" s="17" t="s">
        <v>88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195</v>
      </c>
      <c r="C10" s="17" t="s">
        <v>88</v>
      </c>
      <c r="K10" s="22"/>
      <c r="L10" s="22"/>
      <c r="M10" s="22"/>
      <c r="N10" s="22"/>
      <c r="O10" s="22"/>
    </row>
    <row r="11" customFormat="false" ht="15" hidden="false" customHeight="false" outlineLevel="0" collapsed="false">
      <c r="B11" s="4" t="s">
        <v>196</v>
      </c>
      <c r="C11" s="17" t="s">
        <v>88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39" t="s">
        <v>83</v>
      </c>
      <c r="C12" s="40" t="s">
        <v>88</v>
      </c>
      <c r="D12" s="41" t="n">
        <f aca="false">IS!D8</f>
        <v>7274.344</v>
      </c>
      <c r="E12" s="41" t="n">
        <f aca="false">IS!E8</f>
        <v>7283.767</v>
      </c>
      <c r="F12" s="41" t="n">
        <f aca="false">IS!F8</f>
        <v>7618.317</v>
      </c>
      <c r="G12" s="41" t="n">
        <f aca="false">IS!G8</f>
        <v>7239.29</v>
      </c>
      <c r="H12" s="41" t="n">
        <f aca="false">IS!H8</f>
        <v>3593.528</v>
      </c>
      <c r="I12" s="41" t="n">
        <f aca="false">IS!I8</f>
        <v>3637.869</v>
      </c>
      <c r="J12" s="41" t="n">
        <f aca="false">IS!J8</f>
        <v>7283.631</v>
      </c>
      <c r="K12" s="42"/>
      <c r="L12" s="42"/>
      <c r="M12" s="42"/>
      <c r="N12" s="42"/>
      <c r="O12" s="42"/>
    </row>
    <row r="13" customFormat="false" ht="15" hidden="false" customHeight="false" outlineLevel="0" collapsed="false">
      <c r="B13" s="4" t="s">
        <v>197</v>
      </c>
      <c r="C13" s="17" t="s">
        <v>85</v>
      </c>
      <c r="E13" s="23" t="n">
        <f aca="false">E12/D12-1</f>
        <v>0.00129537453824002</v>
      </c>
      <c r="F13" s="23" t="n">
        <f aca="false">F12/E12-1</f>
        <v>0.0459309036107278</v>
      </c>
      <c r="G13" s="23" t="n">
        <f aca="false">G12/F12-1</f>
        <v>-0.0497520646620507</v>
      </c>
      <c r="I13" s="23" t="n">
        <f aca="false">I12/H12-1</f>
        <v>0.0123391274535778</v>
      </c>
      <c r="K13" s="19"/>
      <c r="L13" s="19"/>
      <c r="M13" s="19"/>
      <c r="N13" s="19"/>
      <c r="O13" s="19"/>
    </row>
    <row r="15" customFormat="false" ht="15" hidden="false" customHeight="false" outlineLevel="0" collapsed="false">
      <c r="B15" s="6" t="s">
        <v>198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customFormat="false" ht="15" hidden="false" customHeight="false" outlineLevel="0" collapsed="false">
      <c r="B16" s="4" t="s">
        <v>199</v>
      </c>
      <c r="C16" s="17" t="s">
        <v>85</v>
      </c>
      <c r="G16" s="18" t="n">
        <v>-0.05</v>
      </c>
      <c r="H16" s="43"/>
      <c r="I16" s="18" t="n">
        <v>0</v>
      </c>
      <c r="P16" s="20" t="s">
        <v>200</v>
      </c>
    </row>
    <row r="17" customFormat="false" ht="15" hidden="false" customHeight="false" outlineLevel="0" collapsed="false">
      <c r="B17" s="4" t="s">
        <v>201</v>
      </c>
      <c r="C17" s="17" t="s">
        <v>202</v>
      </c>
      <c r="G17" s="44" t="n">
        <v>695</v>
      </c>
      <c r="I17" s="44" t="n">
        <v>723</v>
      </c>
      <c r="P17" s="20" t="s">
        <v>203</v>
      </c>
    </row>
    <row r="18" customFormat="false" ht="15" hidden="false" customHeight="false" outlineLevel="0" collapsed="false">
      <c r="B18" s="4" t="s">
        <v>204</v>
      </c>
      <c r="C18" s="17" t="s">
        <v>85</v>
      </c>
      <c r="G18" s="18" t="n">
        <v>0.67</v>
      </c>
      <c r="P18" s="20" t="s">
        <v>205</v>
      </c>
    </row>
    <row r="20" customFormat="false" ht="15" hidden="false" customHeight="false" outlineLevel="0" collapsed="false">
      <c r="B20" s="6" t="s">
        <v>206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Format="false" ht="15" hidden="false" customHeight="false" outlineLevel="0" collapsed="false">
      <c r="B21" s="4" t="s">
        <v>207</v>
      </c>
      <c r="C21" s="17" t="s">
        <v>109</v>
      </c>
      <c r="D21" s="45" t="n">
        <f aca="false">BS!D11/IS!D8*365</f>
        <v>37.4872497093896</v>
      </c>
      <c r="E21" s="45" t="n">
        <f aca="false">BS!E11/IS!E8*365</f>
        <v>39.9805045932963</v>
      </c>
      <c r="F21" s="45" t="n">
        <f aca="false">BS!F11/IS!F8*365</f>
        <v>42.0626071348829</v>
      </c>
      <c r="G21" s="45" t="n">
        <f aca="false">BS!G11/IS!G8*365</f>
        <v>40.1428959193512</v>
      </c>
      <c r="I21" s="45" t="n">
        <f aca="false">BS!I11/IS!J8*365</f>
        <v>53.1575466961465</v>
      </c>
      <c r="K21" s="22"/>
      <c r="L21" s="22"/>
      <c r="M21" s="22"/>
      <c r="N21" s="22"/>
      <c r="O21" s="22"/>
      <c r="P21" s="20" t="s">
        <v>208</v>
      </c>
    </row>
    <row r="22" customFormat="false" ht="15" hidden="false" customHeight="false" outlineLevel="0" collapsed="false">
      <c r="B22" s="4" t="s">
        <v>209</v>
      </c>
      <c r="C22" s="17" t="s">
        <v>109</v>
      </c>
      <c r="D22" s="45" t="n">
        <f aca="false">BS!D12/IS!D10*365</f>
        <v>95.3676391647304</v>
      </c>
      <c r="E22" s="45" t="n">
        <f aca="false">BS!E12/IS!E10*365</f>
        <v>92.9318118983065</v>
      </c>
      <c r="F22" s="45" t="n">
        <f aca="false">BS!F12/IS!F10*365</f>
        <v>90.7283940516764</v>
      </c>
      <c r="G22" s="45" t="n">
        <f aca="false">BS!G12/IS!G10*365</f>
        <v>97.143906323613</v>
      </c>
      <c r="I22" s="45" t="n">
        <f aca="false">BS!I12/IS!J10*365</f>
        <v>130.691205944777</v>
      </c>
      <c r="K22" s="22"/>
      <c r="L22" s="22"/>
      <c r="M22" s="22"/>
      <c r="N22" s="22"/>
      <c r="O22" s="22"/>
    </row>
    <row r="23" customFormat="false" ht="15" hidden="false" customHeight="false" outlineLevel="0" collapsed="false">
      <c r="B23" s="4" t="s">
        <v>210</v>
      </c>
      <c r="C23" s="17" t="s">
        <v>109</v>
      </c>
      <c r="D23" s="45" t="n">
        <f aca="false">BS!D24/IS!D10*365</f>
        <v>31.7477066888124</v>
      </c>
      <c r="E23" s="45" t="n">
        <f aca="false">BS!E24/IS!E10*365</f>
        <v>25.4797891083404</v>
      </c>
      <c r="F23" s="45" t="n">
        <f aca="false">BS!F24/IS!F10*365</f>
        <v>32.1463159205426</v>
      </c>
      <c r="G23" s="45" t="n">
        <f aca="false">BS!G24/IS!G10*365</f>
        <v>24.5554612498095</v>
      </c>
      <c r="I23" s="45" t="n">
        <f aca="false">BS!I24/IS!J10*365</f>
        <v>45.6474504497713</v>
      </c>
      <c r="K23" s="22"/>
      <c r="L23" s="22"/>
      <c r="M23" s="22"/>
      <c r="N23" s="22"/>
      <c r="O23" s="22"/>
    </row>
    <row r="24" customFormat="false" ht="15" hidden="false" customHeight="false" outlineLevel="0" collapsed="false">
      <c r="B24" s="39" t="s">
        <v>211</v>
      </c>
      <c r="C24" s="40" t="s">
        <v>109</v>
      </c>
      <c r="D24" s="46" t="n">
        <f aca="false">D21+D22-D23</f>
        <v>101.107182185308</v>
      </c>
      <c r="E24" s="46" t="n">
        <f aca="false">E21+E22-E23</f>
        <v>107.432527383262</v>
      </c>
      <c r="F24" s="46" t="n">
        <f aca="false">F21+F22-F23</f>
        <v>100.644685266017</v>
      </c>
      <c r="G24" s="46" t="n">
        <f aca="false">G21+G22-G23</f>
        <v>112.731340993155</v>
      </c>
      <c r="H24" s="47"/>
      <c r="I24" s="46" t="n">
        <f aca="false">I21+I22-I23</f>
        <v>138.201302191153</v>
      </c>
      <c r="J24" s="47"/>
      <c r="K24" s="42"/>
      <c r="L24" s="42"/>
      <c r="M24" s="42"/>
      <c r="N24" s="42"/>
      <c r="O24" s="42"/>
    </row>
    <row r="25" customFormat="false" ht="15" hidden="false" customHeight="false" outlineLevel="0" collapsed="false">
      <c r="B25" s="4" t="s">
        <v>212</v>
      </c>
      <c r="C25" s="17" t="s">
        <v>88</v>
      </c>
      <c r="D25" s="45" t="n">
        <f aca="false">BS!D11+BS!D12+BS!D13-BS!D24-BS!D25</f>
        <v>1391.709</v>
      </c>
      <c r="E25" s="45" t="n">
        <f aca="false">BS!E11+BS!E12+BS!E13-BS!E24-BS!E25</f>
        <v>1570.072</v>
      </c>
      <c r="F25" s="45" t="n">
        <f aca="false">BS!F11+BS!F12+BS!F13-BS!F24-BS!F25</f>
        <v>1424.413</v>
      </c>
      <c r="G25" s="45" t="n">
        <f aca="false">BS!G11+BS!G12+BS!G13-BS!G24-BS!G25</f>
        <v>1620.634</v>
      </c>
      <c r="H25" s="45" t="n">
        <f aca="false">BS!H11+BS!H12+BS!H13-BS!H24-BS!H25</f>
        <v>2051.241</v>
      </c>
      <c r="I25" s="45" t="n">
        <f aca="false">BS!I11+BS!I12+BS!I13-BS!I24-BS!I25</f>
        <v>2029.857</v>
      </c>
      <c r="K25" s="22"/>
      <c r="L25" s="22"/>
      <c r="M25" s="22"/>
      <c r="N25" s="22"/>
      <c r="O25" s="22"/>
    </row>
    <row r="26" customFormat="false" ht="15" hidden="false" customHeight="false" outlineLevel="0" collapsed="false">
      <c r="B26" s="4" t="s">
        <v>213</v>
      </c>
      <c r="C26" s="17" t="s">
        <v>85</v>
      </c>
      <c r="D26" s="23" t="n">
        <f aca="false">D25/IS!D8</f>
        <v>0.191317457629169</v>
      </c>
      <c r="E26" s="23" t="n">
        <f aca="false">E25/IS!E8</f>
        <v>0.215557691507705</v>
      </c>
      <c r="F26" s="23" t="n">
        <f aca="false">F25/IS!F8</f>
        <v>0.186972135709239</v>
      </c>
      <c r="G26" s="23" t="n">
        <f aca="false">G25/IS!G8</f>
        <v>0.223866428890126</v>
      </c>
      <c r="I26" s="23" t="n">
        <f aca="false">I25/IS!J8</f>
        <v>0.278687511764393</v>
      </c>
      <c r="K26" s="19"/>
      <c r="L26" s="19"/>
      <c r="M26" s="19"/>
      <c r="N26" s="19"/>
      <c r="O26" s="19"/>
    </row>
    <row r="27" customFormat="false" ht="15" hidden="false" customHeight="false" outlineLevel="0" collapsed="false">
      <c r="B27" s="4" t="s">
        <v>214</v>
      </c>
      <c r="C27" s="17" t="s">
        <v>85</v>
      </c>
      <c r="H27" s="23" t="n">
        <f aca="false">BS!H12/BS!F12-1</f>
        <v>0.409550495295344</v>
      </c>
      <c r="I27" s="23" t="n">
        <f aca="false">BS!I12/BS!G12-1</f>
        <v>0.363665741673802</v>
      </c>
      <c r="P27" s="20" t="s">
        <v>215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216</v>
      </c>
    </row>
    <row r="2" customFormat="false" ht="15" hidden="false" customHeight="false" outlineLevel="0" collapsed="false">
      <c r="B2" s="10" t="s">
        <v>217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4" t="s">
        <v>218</v>
      </c>
      <c r="C8" s="17" t="s">
        <v>88</v>
      </c>
      <c r="D8" s="21" t="n">
        <v>7274.344</v>
      </c>
      <c r="E8" s="21" t="n">
        <v>7283.767</v>
      </c>
      <c r="F8" s="21" t="n">
        <v>7618.317</v>
      </c>
      <c r="G8" s="21" t="n">
        <v>7239.29</v>
      </c>
      <c r="H8" s="21" t="n">
        <v>3593.528</v>
      </c>
      <c r="I8" s="21" t="n">
        <v>3637.869</v>
      </c>
      <c r="J8" s="45" t="n">
        <f aca="false">G8+I8-H8</f>
        <v>7283.631</v>
      </c>
      <c r="K8" s="22"/>
      <c r="L8" s="22"/>
      <c r="M8" s="22"/>
      <c r="N8" s="22"/>
      <c r="O8" s="22"/>
      <c r="P8" s="20" t="s">
        <v>219</v>
      </c>
    </row>
    <row r="9" customFormat="false" ht="15" hidden="false" customHeight="false" outlineLevel="0" collapsed="false">
      <c r="B9" s="4" t="s">
        <v>197</v>
      </c>
      <c r="C9" s="17" t="s">
        <v>85</v>
      </c>
      <c r="E9" s="23" t="n">
        <f aca="false">E8/D8-1</f>
        <v>0.00129537453824002</v>
      </c>
      <c r="F9" s="23" t="n">
        <f aca="false">F8/E8-1</f>
        <v>0.0459309036107278</v>
      </c>
      <c r="G9" s="23" t="n">
        <f aca="false">G8/F8-1</f>
        <v>-0.0497520646620507</v>
      </c>
      <c r="I9" s="23" t="n">
        <f aca="false">I8/H8-1</f>
        <v>0.0123391274535778</v>
      </c>
      <c r="K9" s="19"/>
      <c r="L9" s="19"/>
      <c r="M9" s="19"/>
      <c r="N9" s="19"/>
      <c r="O9" s="19"/>
    </row>
    <row r="10" customFormat="false" ht="15" hidden="false" customHeight="false" outlineLevel="0" collapsed="false">
      <c r="B10" s="4" t="s">
        <v>220</v>
      </c>
      <c r="C10" s="17" t="s">
        <v>88</v>
      </c>
      <c r="D10" s="21" t="n">
        <v>5244.055</v>
      </c>
      <c r="E10" s="21" t="n">
        <v>5291.627</v>
      </c>
      <c r="F10" s="21" t="n">
        <v>5573.604</v>
      </c>
      <c r="G10" s="21" t="n">
        <v>5208.826</v>
      </c>
      <c r="H10" s="21" t="n">
        <v>2560.417</v>
      </c>
      <c r="I10" s="21" t="n">
        <v>2631.385</v>
      </c>
      <c r="J10" s="45" t="n">
        <f aca="false">G10+I10-H10</f>
        <v>5279.794</v>
      </c>
      <c r="K10" s="22"/>
      <c r="L10" s="22"/>
      <c r="M10" s="22"/>
      <c r="N10" s="22"/>
      <c r="O10" s="22"/>
    </row>
    <row r="11" customFormat="false" ht="15" hidden="false" customHeight="false" outlineLevel="0" collapsed="false">
      <c r="B11" s="39" t="s">
        <v>221</v>
      </c>
      <c r="C11" s="40" t="s">
        <v>88</v>
      </c>
      <c r="D11" s="46" t="n">
        <f aca="false">D8-D10</f>
        <v>2030.289</v>
      </c>
      <c r="E11" s="46" t="n">
        <f aca="false">E8-E10</f>
        <v>1992.14</v>
      </c>
      <c r="F11" s="46" t="n">
        <f aca="false">F8-F10</f>
        <v>2044.713</v>
      </c>
      <c r="G11" s="46" t="n">
        <f aca="false">G8-G10</f>
        <v>2030.464</v>
      </c>
      <c r="H11" s="46" t="n">
        <f aca="false">H8-H10</f>
        <v>1033.111</v>
      </c>
      <c r="I11" s="46" t="n">
        <f aca="false">I8-I10</f>
        <v>1006.484</v>
      </c>
      <c r="J11" s="46" t="n">
        <f aca="false">J8-J10</f>
        <v>2003.837</v>
      </c>
      <c r="K11" s="42"/>
      <c r="L11" s="42"/>
      <c r="M11" s="42"/>
      <c r="N11" s="42"/>
      <c r="O11" s="42"/>
    </row>
    <row r="12" customFormat="false" ht="15" hidden="false" customHeight="false" outlineLevel="0" collapsed="false">
      <c r="B12" s="4" t="s">
        <v>222</v>
      </c>
      <c r="C12" s="17" t="s">
        <v>85</v>
      </c>
      <c r="D12" s="23" t="n">
        <f aca="false">D11/D8</f>
        <v>0.279102692971352</v>
      </c>
      <c r="E12" s="23" t="n">
        <f aca="false">E11/E8</f>
        <v>0.273504081061352</v>
      </c>
      <c r="F12" s="23" t="n">
        <f aca="false">F11/F8</f>
        <v>0.268394318587688</v>
      </c>
      <c r="G12" s="23" t="n">
        <f aca="false">G11/G8</f>
        <v>0.280478334201282</v>
      </c>
      <c r="H12" s="23" t="n">
        <f aca="false">H11/H8</f>
        <v>0.287492124730905</v>
      </c>
      <c r="I12" s="23" t="n">
        <f aca="false">I11/I8</f>
        <v>0.276668566130336</v>
      </c>
      <c r="J12" s="23" t="n">
        <f aca="false">J11/J8</f>
        <v>0.275115117720818</v>
      </c>
      <c r="K12" s="19"/>
      <c r="L12" s="19"/>
      <c r="M12" s="19"/>
      <c r="N12" s="19"/>
      <c r="O12" s="19"/>
    </row>
    <row r="13" customFormat="false" ht="15" hidden="false" customHeight="false" outlineLevel="0" collapsed="false">
      <c r="B13" s="4" t="s">
        <v>223</v>
      </c>
      <c r="C13" s="17" t="s">
        <v>88</v>
      </c>
      <c r="D13" s="21" t="n">
        <v>1221.382</v>
      </c>
      <c r="E13" s="21" t="n">
        <v>1223.507</v>
      </c>
      <c r="F13" s="21" t="n">
        <v>1293.439</v>
      </c>
      <c r="G13" s="21" t="n">
        <v>1337.882</v>
      </c>
      <c r="H13" s="21" t="n">
        <v>661.582</v>
      </c>
      <c r="I13" s="21" t="n">
        <v>671.837</v>
      </c>
      <c r="J13" s="45" t="n">
        <f aca="false">G13+I13-H13</f>
        <v>1348.137</v>
      </c>
      <c r="K13" s="22"/>
      <c r="L13" s="22"/>
      <c r="M13" s="22"/>
      <c r="N13" s="22"/>
      <c r="O13" s="22"/>
      <c r="P13" s="20" t="s">
        <v>224</v>
      </c>
    </row>
    <row r="14" customFormat="false" ht="15" hidden="false" customHeight="false" outlineLevel="0" collapsed="false">
      <c r="B14" s="4" t="s">
        <v>225</v>
      </c>
      <c r="C14" s="17" t="s">
        <v>88</v>
      </c>
      <c r="D14" s="21" t="n">
        <v>22.671</v>
      </c>
      <c r="E14" s="21" t="n">
        <v>26.177</v>
      </c>
      <c r="F14" s="21" t="n">
        <v>30.501</v>
      </c>
      <c r="G14" s="21" t="n">
        <v>27.765</v>
      </c>
      <c r="H14" s="21" t="n">
        <v>12.528</v>
      </c>
      <c r="I14" s="21" t="n">
        <v>13.909</v>
      </c>
      <c r="J14" s="45" t="n">
        <f aca="false">G14+I14-H14</f>
        <v>29.146</v>
      </c>
      <c r="K14" s="22"/>
      <c r="L14" s="22"/>
      <c r="M14" s="22"/>
      <c r="N14" s="22"/>
      <c r="O14" s="22"/>
      <c r="P14" s="20" t="s">
        <v>226</v>
      </c>
    </row>
    <row r="15" customFormat="false" ht="15" hidden="false" customHeight="false" outlineLevel="0" collapsed="false">
      <c r="B15" s="39" t="s">
        <v>227</v>
      </c>
      <c r="C15" s="40" t="s">
        <v>88</v>
      </c>
      <c r="D15" s="46" t="n">
        <f aca="false">D11-D13+D14</f>
        <v>831.578</v>
      </c>
      <c r="E15" s="46" t="n">
        <f aca="false">E11-E13+E14</f>
        <v>794.809999999999</v>
      </c>
      <c r="F15" s="46" t="n">
        <f aca="false">F11-F13+F14</f>
        <v>781.775</v>
      </c>
      <c r="G15" s="46" t="n">
        <f aca="false">G11-G13+G14</f>
        <v>720.347</v>
      </c>
      <c r="H15" s="46" t="n">
        <f aca="false">H11-H13+H14</f>
        <v>384.057</v>
      </c>
      <c r="I15" s="46" t="n">
        <f aca="false">I11-I13+I14</f>
        <v>348.556</v>
      </c>
      <c r="J15" s="46" t="n">
        <f aca="false">J11-J13+J14</f>
        <v>684.845999999999</v>
      </c>
      <c r="K15" s="42"/>
      <c r="L15" s="42"/>
      <c r="M15" s="42"/>
      <c r="N15" s="42"/>
      <c r="O15" s="42"/>
    </row>
    <row r="16" customFormat="false" ht="15" hidden="false" customHeight="false" outlineLevel="0" collapsed="false">
      <c r="B16" s="4" t="s">
        <v>228</v>
      </c>
      <c r="C16" s="17" t="s">
        <v>85</v>
      </c>
      <c r="D16" s="23" t="n">
        <f aca="false">D15/D8</f>
        <v>0.114316562428172</v>
      </c>
      <c r="E16" s="23" t="n">
        <f aca="false">E15/E8</f>
        <v>0.109120733818092</v>
      </c>
      <c r="F16" s="23" t="n">
        <f aca="false">F15/F8</f>
        <v>0.102617809156537</v>
      </c>
      <c r="G16" s="23" t="n">
        <f aca="false">G15/G8</f>
        <v>0.0995052000955895</v>
      </c>
      <c r="H16" s="23" t="n">
        <f aca="false">H15/H8</f>
        <v>0.106874636847132</v>
      </c>
      <c r="I16" s="23" t="n">
        <f aca="false">I15/I8</f>
        <v>0.0958132357157446</v>
      </c>
      <c r="J16" s="23" t="n">
        <f aca="false">J15/J8</f>
        <v>0.0940253563092363</v>
      </c>
      <c r="K16" s="19"/>
      <c r="L16" s="19"/>
      <c r="M16" s="19"/>
      <c r="N16" s="19"/>
      <c r="O16" s="19"/>
    </row>
    <row r="17" customFormat="false" ht="15" hidden="false" customHeight="false" outlineLevel="0" collapsed="false">
      <c r="B17" s="4" t="s">
        <v>229</v>
      </c>
      <c r="C17" s="17" t="s">
        <v>88</v>
      </c>
      <c r="D17" s="21" t="n">
        <v>-2.165</v>
      </c>
      <c r="E17" s="21" t="n">
        <v>-4.92</v>
      </c>
      <c r="F17" s="21" t="n">
        <v>20.869</v>
      </c>
      <c r="G17" s="21" t="n">
        <v>17.329</v>
      </c>
      <c r="H17" s="21" t="n">
        <v>7.746</v>
      </c>
      <c r="I17" s="21" t="n">
        <v>9.956</v>
      </c>
      <c r="J17" s="45" t="n">
        <f aca="false">G17+I17-H17</f>
        <v>19.539</v>
      </c>
      <c r="K17" s="22"/>
      <c r="L17" s="22"/>
      <c r="M17" s="22"/>
      <c r="N17" s="22"/>
      <c r="O17" s="22"/>
      <c r="P17" s="20" t="s">
        <v>230</v>
      </c>
    </row>
    <row r="18" customFormat="false" ht="15" hidden="false" customHeight="false" outlineLevel="0" collapsed="false">
      <c r="B18" s="39" t="s">
        <v>231</v>
      </c>
      <c r="C18" s="40" t="s">
        <v>88</v>
      </c>
      <c r="D18" s="46" t="n">
        <f aca="false">D15+D17</f>
        <v>829.413</v>
      </c>
      <c r="E18" s="46" t="n">
        <f aca="false">E15+E17</f>
        <v>789.889999999999</v>
      </c>
      <c r="F18" s="46" t="n">
        <f aca="false">F15+F17</f>
        <v>802.644</v>
      </c>
      <c r="G18" s="46" t="n">
        <f aca="false">G15+G17</f>
        <v>737.676</v>
      </c>
      <c r="H18" s="46" t="n">
        <f aca="false">H15+H17</f>
        <v>391.803</v>
      </c>
      <c r="I18" s="46" t="n">
        <f aca="false">I15+I17</f>
        <v>358.512</v>
      </c>
      <c r="J18" s="46" t="n">
        <f aca="false">J15+J17</f>
        <v>704.384999999999</v>
      </c>
      <c r="K18" s="42"/>
      <c r="L18" s="42"/>
      <c r="M18" s="42"/>
      <c r="N18" s="42"/>
      <c r="O18" s="42"/>
    </row>
    <row r="19" customFormat="false" ht="15" hidden="false" customHeight="false" outlineLevel="0" collapsed="false">
      <c r="B19" s="4" t="s">
        <v>232</v>
      </c>
      <c r="C19" s="17" t="s">
        <v>88</v>
      </c>
      <c r="D19" s="21" t="n">
        <v>125.717</v>
      </c>
      <c r="E19" s="21" t="n">
        <v>155.751</v>
      </c>
      <c r="F19" s="21" t="n">
        <v>166.904</v>
      </c>
      <c r="G19" s="21" t="n">
        <v>150.088</v>
      </c>
      <c r="H19" s="21" t="n">
        <v>80.495</v>
      </c>
      <c r="I19" s="21" t="n">
        <v>74.269</v>
      </c>
      <c r="J19" s="45" t="n">
        <f aca="false">G19+I19-H19</f>
        <v>143.862</v>
      </c>
      <c r="K19" s="22"/>
      <c r="L19" s="22"/>
      <c r="M19" s="22"/>
      <c r="N19" s="22"/>
      <c r="O19" s="22"/>
    </row>
    <row r="20" customFormat="false" ht="15" hidden="false" customHeight="false" outlineLevel="0" collapsed="false">
      <c r="B20" s="39" t="s">
        <v>233</v>
      </c>
      <c r="C20" s="40" t="s">
        <v>88</v>
      </c>
      <c r="D20" s="46" t="n">
        <f aca="false">D18-D19</f>
        <v>703.696</v>
      </c>
      <c r="E20" s="46" t="n">
        <f aca="false">E18-E19</f>
        <v>634.138999999999</v>
      </c>
      <c r="F20" s="46" t="n">
        <f aca="false">F18-F19</f>
        <v>635.74</v>
      </c>
      <c r="G20" s="46" t="n">
        <f aca="false">G18-G19</f>
        <v>587.588</v>
      </c>
      <c r="H20" s="46" t="n">
        <f aca="false">H18-H19</f>
        <v>311.308</v>
      </c>
      <c r="I20" s="46" t="n">
        <f aca="false">I18-I19</f>
        <v>284.243</v>
      </c>
      <c r="J20" s="46" t="n">
        <f aca="false">J18-J19</f>
        <v>560.522999999999</v>
      </c>
      <c r="K20" s="42"/>
      <c r="L20" s="42"/>
      <c r="M20" s="42"/>
      <c r="N20" s="42"/>
      <c r="O20" s="42"/>
    </row>
    <row r="21" customFormat="false" ht="15" hidden="false" customHeight="false" outlineLevel="0" collapsed="false">
      <c r="B21" s="4" t="s">
        <v>234</v>
      </c>
      <c r="C21" s="17" t="s">
        <v>88</v>
      </c>
      <c r="D21" s="21" t="n">
        <v>102.529</v>
      </c>
      <c r="E21" s="21" t="n">
        <v>97.802</v>
      </c>
      <c r="F21" s="21" t="n">
        <v>99.454</v>
      </c>
      <c r="G21" s="21" t="n">
        <v>90.594</v>
      </c>
      <c r="H21" s="21" t="n">
        <v>47.634</v>
      </c>
      <c r="I21" s="21" t="n">
        <v>41.833</v>
      </c>
      <c r="J21" s="45" t="n">
        <f aca="false">G21+I21-H21</f>
        <v>84.793</v>
      </c>
      <c r="K21" s="22"/>
      <c r="L21" s="22"/>
      <c r="M21" s="22"/>
      <c r="N21" s="22"/>
      <c r="O21" s="22"/>
    </row>
    <row r="22" customFormat="false" ht="15" hidden="false" customHeight="false" outlineLevel="0" collapsed="false">
      <c r="B22" s="39" t="s">
        <v>235</v>
      </c>
      <c r="C22" s="40" t="s">
        <v>88</v>
      </c>
      <c r="D22" s="46" t="n">
        <f aca="false">D20-D21</f>
        <v>601.167</v>
      </c>
      <c r="E22" s="46" t="n">
        <f aca="false">E20-E21</f>
        <v>536.336999999999</v>
      </c>
      <c r="F22" s="46" t="n">
        <f aca="false">F20-F21</f>
        <v>536.286</v>
      </c>
      <c r="G22" s="46" t="n">
        <f aca="false">G20-G21</f>
        <v>496.994</v>
      </c>
      <c r="H22" s="46" t="n">
        <f aca="false">H20-H21</f>
        <v>263.674</v>
      </c>
      <c r="I22" s="46" t="n">
        <f aca="false">I20-I21</f>
        <v>242.41</v>
      </c>
      <c r="J22" s="46" t="n">
        <f aca="false">J20-J21</f>
        <v>475.729999999999</v>
      </c>
      <c r="K22" s="42"/>
      <c r="L22" s="42"/>
      <c r="M22" s="42"/>
      <c r="N22" s="42"/>
      <c r="O22" s="42"/>
    </row>
    <row r="23" customFormat="false" ht="15" hidden="false" customHeight="false" outlineLevel="0" collapsed="false">
      <c r="B23" s="6" t="s">
        <v>236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B24" s="4" t="s">
        <v>237</v>
      </c>
      <c r="C24" s="17" t="s">
        <v>88</v>
      </c>
      <c r="D24" s="21" t="n">
        <v>51.294</v>
      </c>
      <c r="E24" s="21" t="n">
        <v>36.932</v>
      </c>
      <c r="F24" s="21" t="n">
        <v>37.369</v>
      </c>
      <c r="G24" s="21" t="n">
        <v>32.807</v>
      </c>
      <c r="H24" s="21" t="n">
        <v>17.409</v>
      </c>
      <c r="I24" s="21" t="n">
        <v>16.855</v>
      </c>
      <c r="J24" s="45" t="n">
        <f aca="false">G24+I24-H24</f>
        <v>32.253</v>
      </c>
      <c r="K24" s="22"/>
      <c r="L24" s="22"/>
      <c r="M24" s="22"/>
      <c r="N24" s="22"/>
      <c r="O24" s="22"/>
      <c r="P24" s="20" t="s">
        <v>238</v>
      </c>
    </row>
    <row r="25" customFormat="false" ht="15" hidden="false" customHeight="false" outlineLevel="0" collapsed="false">
      <c r="B25" s="4" t="s">
        <v>239</v>
      </c>
      <c r="C25" s="17" t="s">
        <v>88</v>
      </c>
      <c r="D25" s="45" t="n">
        <f aca="false">D22-D24</f>
        <v>549.873</v>
      </c>
      <c r="E25" s="45" t="n">
        <f aca="false">E22-E24</f>
        <v>499.404999999999</v>
      </c>
      <c r="F25" s="45" t="n">
        <f aca="false">F22-F24</f>
        <v>498.917</v>
      </c>
      <c r="G25" s="45" t="n">
        <f aca="false">G22-G24</f>
        <v>464.187</v>
      </c>
      <c r="H25" s="45" t="n">
        <f aca="false">H22-H24</f>
        <v>246.265</v>
      </c>
      <c r="I25" s="45" t="n">
        <f aca="false">I22-I24</f>
        <v>225.555</v>
      </c>
      <c r="J25" s="45" t="n">
        <f aca="false">J22-J24</f>
        <v>443.476999999999</v>
      </c>
      <c r="K25" s="22"/>
      <c r="L25" s="22"/>
      <c r="M25" s="22"/>
      <c r="N25" s="22"/>
      <c r="O25" s="22"/>
    </row>
    <row r="26" customFormat="false" ht="15" hidden="false" customHeight="false" outlineLevel="0" collapsed="false">
      <c r="B26" s="4" t="s">
        <v>240</v>
      </c>
      <c r="C26" s="17" t="s">
        <v>138</v>
      </c>
      <c r="D26" s="35" t="n">
        <v>35.564203</v>
      </c>
      <c r="E26" s="35" t="n">
        <v>36.406148</v>
      </c>
      <c r="F26" s="35" t="n">
        <v>37.391461</v>
      </c>
      <c r="G26" s="35" t="n">
        <v>37.835054</v>
      </c>
      <c r="H26" s="35" t="n">
        <v>37.789116</v>
      </c>
      <c r="I26" s="35" t="n">
        <v>38.048185</v>
      </c>
      <c r="P26" s="20" t="s">
        <v>241</v>
      </c>
    </row>
    <row r="27" customFormat="false" ht="15" hidden="false" customHeight="false" outlineLevel="0" collapsed="false">
      <c r="B27" s="4" t="s">
        <v>242</v>
      </c>
      <c r="C27" s="17" t="s">
        <v>138</v>
      </c>
      <c r="D27" s="35" t="n">
        <v>35.683634</v>
      </c>
      <c r="E27" s="35" t="n">
        <v>36.531683</v>
      </c>
      <c r="F27" s="35" t="n">
        <v>37.510332</v>
      </c>
      <c r="G27" s="35" t="n">
        <v>37.899859</v>
      </c>
      <c r="H27" s="35" t="n">
        <v>37.87647</v>
      </c>
      <c r="I27" s="35" t="n">
        <v>38.079266</v>
      </c>
      <c r="K27" s="32"/>
      <c r="L27" s="32"/>
      <c r="M27" s="32"/>
      <c r="N27" s="32"/>
      <c r="O27" s="32"/>
    </row>
    <row r="28" customFormat="false" ht="15" hidden="false" customHeight="false" outlineLevel="0" collapsed="false">
      <c r="B28" s="4" t="s">
        <v>243</v>
      </c>
      <c r="C28" s="17" t="s">
        <v>135</v>
      </c>
      <c r="D28" s="48" t="n">
        <f aca="false">D25/D27</f>
        <v>15.4096693178727</v>
      </c>
      <c r="E28" s="48" t="n">
        <f aca="false">E25/E27</f>
        <v>13.6704624311998</v>
      </c>
      <c r="F28" s="48" t="n">
        <f aca="false">F25/F27</f>
        <v>13.3007887000307</v>
      </c>
      <c r="G28" s="48" t="n">
        <f aca="false">G25/G27</f>
        <v>12.2477236656738</v>
      </c>
      <c r="H28" s="48" t="n">
        <f aca="false">H25/H27</f>
        <v>6.50179385776974</v>
      </c>
      <c r="I28" s="48" t="n">
        <f aca="false">I25/I27</f>
        <v>5.92330219810434</v>
      </c>
      <c r="J28" s="48" t="n">
        <f aca="false">G28+I28-H28</f>
        <v>11.6692320060084</v>
      </c>
      <c r="K28" s="30"/>
      <c r="L28" s="30"/>
      <c r="M28" s="30"/>
      <c r="N28" s="30"/>
      <c r="O28" s="30"/>
      <c r="P28" s="20" t="s">
        <v>244</v>
      </c>
    </row>
    <row r="29" customFormat="false" ht="15" hidden="false" customHeight="false" outlineLevel="0" collapsed="false">
      <c r="B29" s="4" t="s">
        <v>245</v>
      </c>
      <c r="C29" s="17" t="s">
        <v>135</v>
      </c>
      <c r="D29" s="34" t="n">
        <v>8.55</v>
      </c>
      <c r="E29" s="34" t="n">
        <v>9.8</v>
      </c>
      <c r="F29" s="34" t="n">
        <v>10.55</v>
      </c>
      <c r="G29" s="34" t="n">
        <v>11.7</v>
      </c>
      <c r="H29" s="34" t="n">
        <v>5.7</v>
      </c>
      <c r="I29" s="34" t="n">
        <v>6.3</v>
      </c>
      <c r="K29" s="30"/>
      <c r="L29" s="30"/>
      <c r="M29" s="30"/>
      <c r="N29" s="30"/>
      <c r="O29" s="30"/>
      <c r="P29" s="20" t="s">
        <v>246</v>
      </c>
    </row>
    <row r="30" customFormat="false" ht="15" hidden="false" customHeight="false" outlineLevel="0" collapsed="false">
      <c r="B30" s="4" t="s">
        <v>247</v>
      </c>
      <c r="C30" s="17" t="s">
        <v>85</v>
      </c>
      <c r="D30" s="23" t="n">
        <f aca="false">D29/D28</f>
        <v>0.554846429448255</v>
      </c>
      <c r="E30" s="23" t="n">
        <f aca="false">E29/E28</f>
        <v>0.716874066939659</v>
      </c>
      <c r="F30" s="23" t="n">
        <f aca="false">F29/F28</f>
        <v>0.793186046176018</v>
      </c>
      <c r="G30" s="23" t="n">
        <f aca="false">G29/G28</f>
        <v>0.955279553929774</v>
      </c>
      <c r="H30" s="23" t="n">
        <f aca="false">H29/H28</f>
        <v>0.87668113211378</v>
      </c>
      <c r="I30" s="23" t="n">
        <f aca="false">I29/I28</f>
        <v>1.0635959114185</v>
      </c>
      <c r="K30" s="19"/>
      <c r="L30" s="19"/>
      <c r="M30" s="19"/>
      <c r="N30" s="19"/>
      <c r="O30" s="19"/>
    </row>
    <row r="31" customFormat="false" ht="15" hidden="false" customHeight="false" outlineLevel="0" collapsed="false">
      <c r="B31" s="6" t="s">
        <v>248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customFormat="false" ht="15" hidden="false" customHeight="false" outlineLevel="0" collapsed="false">
      <c r="B32" s="4" t="s">
        <v>249</v>
      </c>
      <c r="C32" s="17" t="s">
        <v>88</v>
      </c>
      <c r="D32" s="24" t="n">
        <f aca="false">CF!D10</f>
        <v>31.683</v>
      </c>
      <c r="E32" s="24" t="n">
        <f aca="false">CF!E10</f>
        <v>35.09</v>
      </c>
      <c r="F32" s="24" t="n">
        <f aca="false">CF!F10</f>
        <v>40.822</v>
      </c>
      <c r="G32" s="24" t="n">
        <f aca="false">CF!G10</f>
        <v>43.752</v>
      </c>
      <c r="H32" s="24" t="n">
        <f aca="false">CF!H10</f>
        <v>21.687</v>
      </c>
      <c r="I32" s="24" t="n">
        <f aca="false">CF!I10</f>
        <v>21.943</v>
      </c>
      <c r="J32" s="24" t="n">
        <f aca="false">CF!J10</f>
        <v>44.008</v>
      </c>
      <c r="K32" s="22"/>
      <c r="L32" s="22"/>
      <c r="M32" s="22"/>
      <c r="N32" s="22"/>
      <c r="O32" s="22"/>
    </row>
    <row r="33" customFormat="false" ht="15" hidden="false" customHeight="false" outlineLevel="0" collapsed="false">
      <c r="B33" s="39" t="s">
        <v>250</v>
      </c>
      <c r="C33" s="40" t="s">
        <v>88</v>
      </c>
      <c r="D33" s="46" t="n">
        <f aca="false">D15+D32</f>
        <v>863.261</v>
      </c>
      <c r="E33" s="46" t="n">
        <f aca="false">E15+E32</f>
        <v>829.899999999999</v>
      </c>
      <c r="F33" s="46" t="n">
        <f aca="false">F15+F32</f>
        <v>822.597</v>
      </c>
      <c r="G33" s="46" t="n">
        <f aca="false">G15+G32</f>
        <v>764.099</v>
      </c>
      <c r="H33" s="46" t="n">
        <f aca="false">H15+H32</f>
        <v>405.744</v>
      </c>
      <c r="I33" s="46" t="n">
        <f aca="false">I15+I32</f>
        <v>370.499</v>
      </c>
      <c r="J33" s="46" t="n">
        <f aca="false">J15+J32</f>
        <v>728.853999999999</v>
      </c>
      <c r="K33" s="42"/>
      <c r="L33" s="42"/>
      <c r="M33" s="42"/>
      <c r="N33" s="42"/>
      <c r="O33" s="42"/>
      <c r="P33" s="20" t="s">
        <v>251</v>
      </c>
    </row>
    <row r="34" customFormat="false" ht="15" hidden="false" customHeight="false" outlineLevel="0" collapsed="false">
      <c r="B34" s="4" t="s">
        <v>252</v>
      </c>
      <c r="C34" s="17" t="s">
        <v>85</v>
      </c>
      <c r="D34" s="23" t="n">
        <f aca="false">D33/D8</f>
        <v>0.118672006712908</v>
      </c>
      <c r="E34" s="23" t="n">
        <f aca="false">E33/E8</f>
        <v>0.11393829593945</v>
      </c>
      <c r="F34" s="23" t="n">
        <f aca="false">F33/F8</f>
        <v>0.107976210493735</v>
      </c>
      <c r="G34" s="23" t="n">
        <f aca="false">G33/G8</f>
        <v>0.105548886700215</v>
      </c>
      <c r="H34" s="23" t="n">
        <f aca="false">H33/H8</f>
        <v>0.112909653131964</v>
      </c>
      <c r="I34" s="23" t="n">
        <f aca="false">I33/I8</f>
        <v>0.101845063689759</v>
      </c>
      <c r="J34" s="23" t="n">
        <f aca="false">J33/J8</f>
        <v>0.100067397703151</v>
      </c>
      <c r="K34" s="19"/>
      <c r="L34" s="19"/>
      <c r="M34" s="19"/>
      <c r="N34" s="19"/>
      <c r="O34" s="19"/>
    </row>
    <row r="36" customFormat="false" ht="15" hidden="false" customHeight="false" outlineLevel="0" collapsed="false">
      <c r="B36" s="6" t="s">
        <v>253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customFormat="false" ht="15" hidden="false" customHeight="false" outlineLevel="0" collapsed="false">
      <c r="B37" s="4" t="s">
        <v>254</v>
      </c>
      <c r="C37" s="17" t="s">
        <v>88</v>
      </c>
      <c r="D37" s="21" t="n">
        <v>2030.289</v>
      </c>
      <c r="E37" s="21" t="n">
        <v>1992.14</v>
      </c>
      <c r="F37" s="21" t="n">
        <v>2044.713</v>
      </c>
      <c r="G37" s="21" t="n">
        <v>2030.464</v>
      </c>
      <c r="H37" s="21" t="n">
        <v>1033.111</v>
      </c>
      <c r="I37" s="21" t="n">
        <v>1006.484</v>
      </c>
    </row>
    <row r="38" customFormat="false" ht="15" hidden="false" customHeight="false" outlineLevel="0" collapsed="false">
      <c r="B38" s="4" t="s">
        <v>255</v>
      </c>
      <c r="C38" s="17" t="s">
        <v>88</v>
      </c>
      <c r="D38" s="45" t="n">
        <f aca="false">D11-D37</f>
        <v>0</v>
      </c>
      <c r="E38" s="45" t="n">
        <f aca="false">E11-E37</f>
        <v>0</v>
      </c>
      <c r="F38" s="45" t="n">
        <f aca="false">F11-F37</f>
        <v>0</v>
      </c>
      <c r="G38" s="45" t="n">
        <f aca="false">G11-G37</f>
        <v>0</v>
      </c>
      <c r="H38" s="45" t="n">
        <f aca="false">H11-H37</f>
        <v>0</v>
      </c>
      <c r="I38" s="45" t="n">
        <f aca="false">I11-I37</f>
        <v>0</v>
      </c>
    </row>
    <row r="39" customFormat="false" ht="15" hidden="false" customHeight="false" outlineLevel="0" collapsed="false">
      <c r="B39" s="4" t="s">
        <v>256</v>
      </c>
      <c r="C39" s="17" t="s">
        <v>88</v>
      </c>
      <c r="D39" s="21" t="n">
        <v>831.578</v>
      </c>
      <c r="E39" s="21" t="n">
        <v>794.81</v>
      </c>
      <c r="F39" s="21" t="n">
        <v>781.775</v>
      </c>
      <c r="G39" s="21" t="n">
        <v>720.347</v>
      </c>
      <c r="H39" s="21" t="n">
        <v>384.057</v>
      </c>
      <c r="I39" s="21" t="n">
        <v>348.556</v>
      </c>
    </row>
    <row r="40" customFormat="false" ht="15" hidden="false" customHeight="false" outlineLevel="0" collapsed="false">
      <c r="B40" s="4" t="s">
        <v>255</v>
      </c>
      <c r="C40" s="17" t="s">
        <v>88</v>
      </c>
      <c r="D40" s="45" t="n">
        <f aca="false">D15-D39</f>
        <v>0</v>
      </c>
      <c r="E40" s="45" t="n">
        <f aca="false">E15-E39</f>
        <v>0</v>
      </c>
      <c r="F40" s="45" t="n">
        <f aca="false">F15-F39</f>
        <v>0</v>
      </c>
      <c r="G40" s="45" t="n">
        <f aca="false">G15-G39</f>
        <v>0</v>
      </c>
      <c r="H40" s="45" t="n">
        <f aca="false">H15-H39</f>
        <v>0</v>
      </c>
      <c r="I40" s="45" t="n">
        <f aca="false">I15-I39</f>
        <v>0</v>
      </c>
    </row>
    <row r="41" customFormat="false" ht="15" hidden="false" customHeight="false" outlineLevel="0" collapsed="false">
      <c r="B41" s="4" t="s">
        <v>257</v>
      </c>
      <c r="C41" s="17" t="s">
        <v>88</v>
      </c>
      <c r="D41" s="21" t="n">
        <v>829.413</v>
      </c>
      <c r="E41" s="21" t="n">
        <v>789.89</v>
      </c>
      <c r="F41" s="21" t="n">
        <v>802.644</v>
      </c>
      <c r="G41" s="21" t="n">
        <v>737.676</v>
      </c>
      <c r="H41" s="21" t="n">
        <v>391.803</v>
      </c>
      <c r="I41" s="21" t="n">
        <v>358.512</v>
      </c>
    </row>
    <row r="42" customFormat="false" ht="15" hidden="false" customHeight="false" outlineLevel="0" collapsed="false">
      <c r="B42" s="4" t="s">
        <v>255</v>
      </c>
      <c r="C42" s="17" t="s">
        <v>88</v>
      </c>
      <c r="D42" s="45" t="n">
        <f aca="false">D18-D41</f>
        <v>0</v>
      </c>
      <c r="E42" s="45" t="n">
        <f aca="false">E18-E41</f>
        <v>0</v>
      </c>
      <c r="F42" s="45" t="n">
        <f aca="false">F18-F41</f>
        <v>0</v>
      </c>
      <c r="G42" s="45" t="n">
        <f aca="false">G18-G41</f>
        <v>0</v>
      </c>
      <c r="H42" s="45" t="n">
        <f aca="false">H18-H41</f>
        <v>0</v>
      </c>
      <c r="I42" s="45" t="n">
        <f aca="false">I18-I41</f>
        <v>0</v>
      </c>
    </row>
    <row r="43" customFormat="false" ht="15" hidden="false" customHeight="false" outlineLevel="0" collapsed="false">
      <c r="B43" s="4" t="s">
        <v>258</v>
      </c>
      <c r="C43" s="17" t="s">
        <v>88</v>
      </c>
      <c r="D43" s="21" t="n">
        <v>601.167</v>
      </c>
      <c r="E43" s="21" t="n">
        <v>536.337</v>
      </c>
      <c r="F43" s="21" t="n">
        <v>536.286</v>
      </c>
      <c r="G43" s="21" t="n">
        <v>496.994</v>
      </c>
      <c r="H43" s="21" t="n">
        <v>263.674</v>
      </c>
      <c r="I43" s="21" t="n">
        <v>242.41</v>
      </c>
    </row>
    <row r="44" customFormat="false" ht="15" hidden="false" customHeight="false" outlineLevel="0" collapsed="false">
      <c r="B44" s="4" t="s">
        <v>255</v>
      </c>
      <c r="C44" s="17" t="s">
        <v>88</v>
      </c>
      <c r="D44" s="45" t="n">
        <f aca="false">D22-D43</f>
        <v>0</v>
      </c>
      <c r="E44" s="45" t="n">
        <f aca="false">E22-E43</f>
        <v>0</v>
      </c>
      <c r="F44" s="45" t="n">
        <f aca="false">F22-F43</f>
        <v>0</v>
      </c>
      <c r="G44" s="45" t="n">
        <f aca="false">G22-G43</f>
        <v>0</v>
      </c>
      <c r="H44" s="45" t="n">
        <f aca="false">H22-H43</f>
        <v>0</v>
      </c>
      <c r="I44" s="45" t="n">
        <f aca="false">I22-I43</f>
        <v>0</v>
      </c>
    </row>
    <row r="45" customFormat="false" ht="15" hidden="false" customHeight="false" outlineLevel="0" collapsed="false">
      <c r="B45" s="4" t="s">
        <v>259</v>
      </c>
      <c r="C45" s="17" t="s">
        <v>135</v>
      </c>
      <c r="D45" s="34" t="n">
        <v>15.41</v>
      </c>
      <c r="E45" s="34" t="n">
        <v>13.67</v>
      </c>
      <c r="F45" s="34" t="n">
        <v>13.3</v>
      </c>
      <c r="G45" s="34" t="n">
        <v>12.25</v>
      </c>
      <c r="H45" s="34" t="n">
        <v>6.5</v>
      </c>
      <c r="I45" s="34" t="n">
        <v>5.92</v>
      </c>
    </row>
    <row r="46" customFormat="false" ht="15" hidden="false" customHeight="false" outlineLevel="0" collapsed="false">
      <c r="B46" s="4" t="s">
        <v>255</v>
      </c>
      <c r="C46" s="17" t="s">
        <v>135</v>
      </c>
      <c r="D46" s="48" t="n">
        <f aca="false">D28-D45</f>
        <v>-0.000330682127279047</v>
      </c>
      <c r="E46" s="48" t="n">
        <f aca="false">E28-E45</f>
        <v>0.000462431199771629</v>
      </c>
      <c r="F46" s="48" t="n">
        <f aca="false">F28-F45</f>
        <v>0.000788700030692979</v>
      </c>
      <c r="G46" s="48" t="n">
        <f aca="false">G28-G45</f>
        <v>-0.00227633432620777</v>
      </c>
      <c r="H46" s="48" t="n">
        <f aca="false">H28-H45</f>
        <v>0.00179385776974161</v>
      </c>
      <c r="I46" s="48" t="n">
        <f aca="false">I28-I45</f>
        <v>0.00330219810434329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260</v>
      </c>
    </row>
    <row r="2" customFormat="false" ht="15" hidden="false" customHeight="false" outlineLevel="0" collapsed="false">
      <c r="B2" s="10" t="s">
        <v>261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262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263</v>
      </c>
      <c r="C9" s="17" t="s">
        <v>88</v>
      </c>
      <c r="D9" s="21" t="n">
        <v>147.505</v>
      </c>
      <c r="E9" s="21" t="n">
        <v>210.112</v>
      </c>
      <c r="F9" s="21" t="n">
        <v>526.271</v>
      </c>
      <c r="G9" s="21" t="n">
        <v>433.283</v>
      </c>
      <c r="H9" s="21" t="n">
        <v>292.978</v>
      </c>
      <c r="I9" s="21" t="n">
        <v>364.189</v>
      </c>
      <c r="J9" s="45" t="n">
        <f aca="false">I9</f>
        <v>364.189</v>
      </c>
      <c r="K9" s="22"/>
      <c r="L9" s="22"/>
      <c r="M9" s="22"/>
      <c r="N9" s="22"/>
      <c r="O9" s="22"/>
      <c r="P9" s="20" t="s">
        <v>264</v>
      </c>
    </row>
    <row r="10" customFormat="false" ht="15" hidden="false" customHeight="false" outlineLevel="0" collapsed="false">
      <c r="B10" s="4" t="s">
        <v>265</v>
      </c>
      <c r="C10" s="17" t="s">
        <v>88</v>
      </c>
      <c r="D10" s="21" t="n">
        <v>0</v>
      </c>
      <c r="E10" s="21" t="n">
        <v>0</v>
      </c>
      <c r="F10" s="21" t="n">
        <v>255.669</v>
      </c>
      <c r="G10" s="21" t="n">
        <v>300</v>
      </c>
      <c r="H10" s="21" t="n">
        <v>0</v>
      </c>
      <c r="I10" s="21" t="n">
        <v>100</v>
      </c>
      <c r="J10" s="45" t="n">
        <f aca="false">I10</f>
        <v>100</v>
      </c>
      <c r="K10" s="22"/>
      <c r="L10" s="22"/>
      <c r="M10" s="22"/>
      <c r="N10" s="22"/>
      <c r="O10" s="22"/>
      <c r="P10" s="20" t="s">
        <v>266</v>
      </c>
    </row>
    <row r="11" customFormat="false" ht="15" hidden="false" customHeight="false" outlineLevel="0" collapsed="false">
      <c r="B11" s="4" t="s">
        <v>267</v>
      </c>
      <c r="C11" s="17" t="s">
        <v>88</v>
      </c>
      <c r="D11" s="21" t="n">
        <v>747.11</v>
      </c>
      <c r="E11" s="21" t="n">
        <v>797.832</v>
      </c>
      <c r="F11" s="21" t="n">
        <v>877.935</v>
      </c>
      <c r="G11" s="21" t="n">
        <v>796.181</v>
      </c>
      <c r="H11" s="21" t="n">
        <v>1015.738</v>
      </c>
      <c r="I11" s="21" t="n">
        <v>1060.767</v>
      </c>
      <c r="J11" s="45" t="n">
        <f aca="false">I11</f>
        <v>1060.767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268</v>
      </c>
      <c r="C12" s="17" t="s">
        <v>88</v>
      </c>
      <c r="D12" s="21" t="n">
        <v>1370.173</v>
      </c>
      <c r="E12" s="21" t="n">
        <v>1347.289</v>
      </c>
      <c r="F12" s="21" t="n">
        <v>1385.436</v>
      </c>
      <c r="G12" s="21" t="n">
        <v>1386.317</v>
      </c>
      <c r="H12" s="21" t="n">
        <v>1952.842</v>
      </c>
      <c r="I12" s="21" t="n">
        <v>1890.473</v>
      </c>
      <c r="J12" s="45" t="n">
        <f aca="false">I12</f>
        <v>1890.473</v>
      </c>
      <c r="K12" s="22"/>
      <c r="L12" s="22"/>
      <c r="M12" s="22"/>
      <c r="N12" s="22"/>
      <c r="O12" s="22"/>
    </row>
    <row r="13" customFormat="false" ht="15" hidden="false" customHeight="false" outlineLevel="0" collapsed="false">
      <c r="B13" s="4" t="s">
        <v>269</v>
      </c>
      <c r="C13" s="17" t="s">
        <v>88</v>
      </c>
      <c r="D13" s="21" t="n">
        <v>33.951</v>
      </c>
      <c r="E13" s="21" t="n">
        <v>36.698</v>
      </c>
      <c r="F13" s="21" t="n">
        <v>34.67</v>
      </c>
      <c r="G13" s="21" t="n">
        <v>38.725</v>
      </c>
      <c r="H13" s="21" t="n">
        <v>38.16</v>
      </c>
      <c r="I13" s="21" t="n">
        <v>38.668</v>
      </c>
      <c r="J13" s="45" t="n">
        <f aca="false">I13</f>
        <v>38.668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39" t="s">
        <v>270</v>
      </c>
      <c r="C14" s="40" t="s">
        <v>88</v>
      </c>
      <c r="D14" s="46" t="n">
        <f aca="false">SUM(D9:D13)</f>
        <v>2298.739</v>
      </c>
      <c r="E14" s="46" t="n">
        <f aca="false">SUM(E9:E13)</f>
        <v>2391.931</v>
      </c>
      <c r="F14" s="46" t="n">
        <f aca="false">SUM(F9:F13)</f>
        <v>3079.981</v>
      </c>
      <c r="G14" s="46" t="n">
        <f aca="false">SUM(G9:G13)</f>
        <v>2954.506</v>
      </c>
      <c r="H14" s="46" t="n">
        <f aca="false">SUM(H9:H13)</f>
        <v>3299.718</v>
      </c>
      <c r="I14" s="46" t="n">
        <f aca="false">SUM(I9:I13)</f>
        <v>3454.097</v>
      </c>
      <c r="J14" s="46" t="n">
        <f aca="false">SUM(J9:J13)</f>
        <v>3454.097</v>
      </c>
      <c r="K14" s="42"/>
      <c r="L14" s="42"/>
      <c r="M14" s="42"/>
      <c r="N14" s="42"/>
      <c r="O14" s="42"/>
    </row>
    <row r="15" customFormat="false" ht="15" hidden="false" customHeight="false" outlineLevel="0" collapsed="false">
      <c r="B15" s="4" t="s">
        <v>271</v>
      </c>
      <c r="C15" s="17" t="s">
        <v>88</v>
      </c>
      <c r="D15" s="21" t="n">
        <v>125.424</v>
      </c>
      <c r="E15" s="21" t="n">
        <v>136.23</v>
      </c>
      <c r="F15" s="21" t="n">
        <v>140.535</v>
      </c>
      <c r="G15" s="21" t="n">
        <v>136.012</v>
      </c>
      <c r="H15" s="21" t="n">
        <v>137.257</v>
      </c>
      <c r="I15" s="21" t="n">
        <v>146.892</v>
      </c>
      <c r="J15" s="45" t="n">
        <f aca="false">I15</f>
        <v>146.892</v>
      </c>
      <c r="K15" s="22"/>
      <c r="L15" s="22"/>
      <c r="M15" s="22"/>
      <c r="N15" s="22"/>
      <c r="O15" s="22"/>
      <c r="P15" s="20" t="s">
        <v>272</v>
      </c>
    </row>
    <row r="16" customFormat="false" ht="15" hidden="false" customHeight="false" outlineLevel="0" collapsed="false">
      <c r="B16" s="4" t="s">
        <v>273</v>
      </c>
      <c r="C16" s="17" t="s">
        <v>88</v>
      </c>
      <c r="D16" s="21" t="n">
        <v>317.314</v>
      </c>
      <c r="E16" s="21" t="n">
        <v>368.748</v>
      </c>
      <c r="F16" s="21" t="n">
        <v>419.138</v>
      </c>
      <c r="G16" s="21" t="n">
        <v>452.547</v>
      </c>
      <c r="H16" s="21" t="n">
        <v>425.94</v>
      </c>
      <c r="I16" s="21" t="n">
        <v>509.3</v>
      </c>
      <c r="J16" s="45" t="n">
        <f aca="false">I16</f>
        <v>509.3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274</v>
      </c>
      <c r="C17" s="17" t="s">
        <v>88</v>
      </c>
      <c r="D17" s="21" t="n">
        <v>430.711</v>
      </c>
      <c r="E17" s="21" t="n">
        <v>457.148</v>
      </c>
      <c r="F17" s="21" t="n">
        <v>451.858</v>
      </c>
      <c r="G17" s="21" t="n">
        <v>462.509</v>
      </c>
      <c r="H17" s="21" t="n">
        <v>466.167</v>
      </c>
      <c r="I17" s="21" t="n">
        <v>559.693</v>
      </c>
      <c r="J17" s="45" t="n">
        <f aca="false">I17</f>
        <v>559.693</v>
      </c>
      <c r="K17" s="22"/>
      <c r="L17" s="22"/>
      <c r="M17" s="22"/>
      <c r="N17" s="22"/>
      <c r="O17" s="22"/>
      <c r="P17" s="20" t="s">
        <v>275</v>
      </c>
    </row>
    <row r="18" customFormat="false" ht="15" hidden="false" customHeight="false" outlineLevel="0" collapsed="false">
      <c r="B18" s="4" t="s">
        <v>276</v>
      </c>
      <c r="C18" s="17" t="s">
        <v>88</v>
      </c>
      <c r="D18" s="21" t="n">
        <v>175.191</v>
      </c>
      <c r="E18" s="21" t="n">
        <v>218.146</v>
      </c>
      <c r="F18" s="21" t="n">
        <v>208.472</v>
      </c>
      <c r="G18" s="21" t="n">
        <v>210.427</v>
      </c>
      <c r="H18" s="21" t="n">
        <v>209.792</v>
      </c>
      <c r="I18" s="21" t="n">
        <v>205.252</v>
      </c>
      <c r="J18" s="45" t="n">
        <f aca="false">I18</f>
        <v>205.252</v>
      </c>
      <c r="K18" s="22"/>
      <c r="L18" s="22"/>
      <c r="M18" s="22"/>
      <c r="N18" s="22"/>
      <c r="O18" s="22"/>
      <c r="P18" s="20" t="s">
        <v>277</v>
      </c>
    </row>
    <row r="19" customFormat="false" ht="15" hidden="false" customHeight="false" outlineLevel="0" collapsed="false">
      <c r="B19" s="4" t="s">
        <v>278</v>
      </c>
      <c r="C19" s="17" t="s">
        <v>88</v>
      </c>
      <c r="D19" s="21" t="n">
        <v>132.802</v>
      </c>
      <c r="E19" s="21" t="n">
        <v>146.238</v>
      </c>
      <c r="F19" s="21" t="n">
        <v>168.611</v>
      </c>
      <c r="G19" s="21" t="n">
        <v>185.234</v>
      </c>
      <c r="H19" s="21" t="n">
        <v>177.862</v>
      </c>
      <c r="I19" s="21" t="n">
        <v>193.899</v>
      </c>
      <c r="J19" s="45" t="n">
        <f aca="false">I19</f>
        <v>193.899</v>
      </c>
      <c r="K19" s="22"/>
      <c r="L19" s="22"/>
      <c r="M19" s="22"/>
      <c r="N19" s="22"/>
      <c r="O19" s="22"/>
      <c r="P19" s="20" t="s">
        <v>279</v>
      </c>
    </row>
    <row r="20" customFormat="false" ht="15" hidden="false" customHeight="false" outlineLevel="0" collapsed="false">
      <c r="B20" s="4" t="s">
        <v>280</v>
      </c>
      <c r="C20" s="17" t="s">
        <v>88</v>
      </c>
      <c r="D20" s="21" t="n">
        <v>8.033</v>
      </c>
      <c r="E20" s="21" t="n">
        <v>10.741</v>
      </c>
      <c r="F20" s="21" t="n">
        <v>10.928</v>
      </c>
      <c r="G20" s="21" t="n">
        <v>13.57</v>
      </c>
      <c r="H20" s="21" t="n">
        <v>12.777</v>
      </c>
      <c r="I20" s="21" t="n">
        <v>15.584</v>
      </c>
      <c r="J20" s="45" t="n">
        <f aca="false">I20</f>
        <v>15.584</v>
      </c>
      <c r="K20" s="22"/>
      <c r="L20" s="22"/>
      <c r="M20" s="22"/>
      <c r="N20" s="22"/>
      <c r="O20" s="22"/>
    </row>
    <row r="21" customFormat="false" ht="15" hidden="false" customHeight="false" outlineLevel="0" collapsed="false">
      <c r="B21" s="39" t="s">
        <v>281</v>
      </c>
      <c r="C21" s="40" t="s">
        <v>88</v>
      </c>
      <c r="D21" s="46" t="n">
        <f aca="false">D14+SUM(D15:D20)</f>
        <v>3488.214</v>
      </c>
      <c r="E21" s="46" t="n">
        <f aca="false">E14+SUM(E15:E20)</f>
        <v>3729.182</v>
      </c>
      <c r="F21" s="46" t="n">
        <f aca="false">F14+SUM(F15:F20)</f>
        <v>4479.523</v>
      </c>
      <c r="G21" s="46" t="n">
        <f aca="false">G14+SUM(G15:G20)</f>
        <v>4414.805</v>
      </c>
      <c r="H21" s="46" t="n">
        <f aca="false">H14+SUM(H15:H20)</f>
        <v>4729.513</v>
      </c>
      <c r="I21" s="46" t="n">
        <f aca="false">I14+SUM(I15:I20)</f>
        <v>5084.717</v>
      </c>
      <c r="J21" s="46" t="n">
        <f aca="false">J14+SUM(J15:J20)</f>
        <v>5084.717</v>
      </c>
      <c r="K21" s="42"/>
      <c r="L21" s="42"/>
      <c r="M21" s="42"/>
      <c r="N21" s="42"/>
      <c r="O21" s="42"/>
    </row>
    <row r="22" customFormat="false" ht="15" hidden="false" customHeight="false" outlineLevel="0" collapsed="false">
      <c r="B22" s="6" t="s">
        <v>282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customFormat="false" ht="15" hidden="false" customHeight="false" outlineLevel="0" collapsed="false">
      <c r="B23" s="4" t="s">
        <v>283</v>
      </c>
      <c r="C23" s="17" t="s">
        <v>88</v>
      </c>
      <c r="D23" s="21" t="n">
        <v>90.597</v>
      </c>
      <c r="E23" s="21" t="n">
        <v>100.265</v>
      </c>
      <c r="F23" s="21" t="n">
        <v>110.273</v>
      </c>
      <c r="G23" s="21" t="n">
        <v>117.153</v>
      </c>
      <c r="H23" s="21" t="n">
        <v>115.417</v>
      </c>
      <c r="I23" s="21" t="n">
        <v>119.723</v>
      </c>
      <c r="J23" s="45" t="n">
        <f aca="false">I23</f>
        <v>119.723</v>
      </c>
      <c r="K23" s="22"/>
      <c r="L23" s="22"/>
      <c r="M23" s="22"/>
      <c r="N23" s="22"/>
      <c r="O23" s="22"/>
    </row>
    <row r="24" customFormat="false" ht="15" hidden="false" customHeight="false" outlineLevel="0" collapsed="false">
      <c r="B24" s="4" t="s">
        <v>284</v>
      </c>
      <c r="C24" s="17" t="s">
        <v>88</v>
      </c>
      <c r="D24" s="21" t="n">
        <v>456.128</v>
      </c>
      <c r="E24" s="21" t="n">
        <v>369.396</v>
      </c>
      <c r="F24" s="21" t="n">
        <v>490.879</v>
      </c>
      <c r="G24" s="21" t="n">
        <v>350.425</v>
      </c>
      <c r="H24" s="21" t="n">
        <v>678.114</v>
      </c>
      <c r="I24" s="21" t="n">
        <v>660.299</v>
      </c>
      <c r="J24" s="45" t="n">
        <f aca="false">I24</f>
        <v>660.299</v>
      </c>
      <c r="K24" s="22"/>
      <c r="L24" s="22"/>
      <c r="M24" s="22"/>
      <c r="N24" s="22"/>
      <c r="O24" s="22"/>
    </row>
    <row r="25" customFormat="false" ht="15" hidden="false" customHeight="false" outlineLevel="0" collapsed="false">
      <c r="B25" s="4" t="s">
        <v>285</v>
      </c>
      <c r="C25" s="17" t="s">
        <v>88</v>
      </c>
      <c r="D25" s="21" t="n">
        <v>303.397</v>
      </c>
      <c r="E25" s="21" t="n">
        <v>242.351</v>
      </c>
      <c r="F25" s="21" t="n">
        <v>382.749</v>
      </c>
      <c r="G25" s="21" t="n">
        <v>250.164</v>
      </c>
      <c r="H25" s="21" t="n">
        <v>277.385</v>
      </c>
      <c r="I25" s="21" t="n">
        <v>299.752</v>
      </c>
      <c r="J25" s="45" t="n">
        <f aca="false">I25</f>
        <v>299.752</v>
      </c>
      <c r="K25" s="22"/>
      <c r="L25" s="22"/>
      <c r="M25" s="22"/>
      <c r="N25" s="22"/>
      <c r="O25" s="22"/>
    </row>
    <row r="26" customFormat="false" ht="15" hidden="false" customHeight="false" outlineLevel="0" collapsed="false">
      <c r="B26" s="39" t="s">
        <v>286</v>
      </c>
      <c r="C26" s="40" t="s">
        <v>88</v>
      </c>
      <c r="D26" s="46" t="n">
        <f aca="false">SUM(D23:D25)</f>
        <v>850.122</v>
      </c>
      <c r="E26" s="46" t="n">
        <f aca="false">SUM(E23:E25)</f>
        <v>712.012</v>
      </c>
      <c r="F26" s="46" t="n">
        <f aca="false">SUM(F23:F25)</f>
        <v>983.901</v>
      </c>
      <c r="G26" s="46" t="n">
        <f aca="false">SUM(G23:G25)</f>
        <v>717.742</v>
      </c>
      <c r="H26" s="46" t="n">
        <f aca="false">SUM(H23:H25)</f>
        <v>1070.916</v>
      </c>
      <c r="I26" s="46" t="n">
        <f aca="false">SUM(I23:I25)</f>
        <v>1079.774</v>
      </c>
      <c r="J26" s="46" t="n">
        <f aca="false">SUM(J23:J25)</f>
        <v>1079.774</v>
      </c>
      <c r="K26" s="42"/>
      <c r="L26" s="42"/>
      <c r="M26" s="42"/>
      <c r="N26" s="42"/>
      <c r="O26" s="42"/>
      <c r="P26" s="20" t="s">
        <v>287</v>
      </c>
    </row>
    <row r="27" customFormat="false" ht="15" hidden="false" customHeight="false" outlineLevel="0" collapsed="false">
      <c r="B27" s="4" t="s">
        <v>288</v>
      </c>
      <c r="C27" s="17" t="s">
        <v>88</v>
      </c>
      <c r="D27" s="21" t="n">
        <v>56.4</v>
      </c>
      <c r="E27" s="21" t="n">
        <v>15.4</v>
      </c>
      <c r="F27" s="21" t="n">
        <v>0</v>
      </c>
      <c r="G27" s="21" t="n">
        <v>0</v>
      </c>
      <c r="H27" s="21" t="n">
        <v>0</v>
      </c>
      <c r="I27" s="21" t="n">
        <v>0</v>
      </c>
      <c r="J27" s="45" t="n">
        <f aca="false">I27</f>
        <v>0</v>
      </c>
      <c r="K27" s="22"/>
      <c r="L27" s="22"/>
      <c r="M27" s="22"/>
      <c r="N27" s="22"/>
      <c r="O27" s="22"/>
      <c r="P27" s="20" t="s">
        <v>289</v>
      </c>
    </row>
    <row r="28" customFormat="false" ht="15" hidden="false" customHeight="false" outlineLevel="0" collapsed="false">
      <c r="B28" s="4" t="s">
        <v>290</v>
      </c>
      <c r="C28" s="17" t="s">
        <v>88</v>
      </c>
      <c r="D28" s="21" t="n">
        <v>232.144</v>
      </c>
      <c r="E28" s="21" t="n">
        <v>276.913</v>
      </c>
      <c r="F28" s="21" t="n">
        <v>321.715</v>
      </c>
      <c r="G28" s="21" t="n">
        <v>350.616</v>
      </c>
      <c r="H28" s="21" t="n">
        <v>324.601</v>
      </c>
      <c r="I28" s="21" t="n">
        <v>406.478</v>
      </c>
      <c r="J28" s="45" t="n">
        <f aca="false">I28</f>
        <v>406.478</v>
      </c>
      <c r="K28" s="22"/>
      <c r="L28" s="22"/>
      <c r="M28" s="22"/>
      <c r="N28" s="22"/>
      <c r="O28" s="22"/>
    </row>
    <row r="29" customFormat="false" ht="15" hidden="false" customHeight="false" outlineLevel="0" collapsed="false">
      <c r="B29" s="4" t="s">
        <v>291</v>
      </c>
      <c r="C29" s="17" t="s">
        <v>88</v>
      </c>
      <c r="D29" s="21" t="n">
        <v>11.388</v>
      </c>
      <c r="E29" s="21" t="n">
        <v>12.214</v>
      </c>
      <c r="F29" s="21" t="n">
        <v>15.475</v>
      </c>
      <c r="G29" s="21" t="n">
        <v>11.019</v>
      </c>
      <c r="H29" s="21" t="n">
        <v>14.068</v>
      </c>
      <c r="I29" s="21" t="n">
        <v>9.068</v>
      </c>
      <c r="J29" s="45" t="n">
        <f aca="false">I29</f>
        <v>9.068</v>
      </c>
      <c r="K29" s="22"/>
      <c r="L29" s="22"/>
      <c r="M29" s="22"/>
      <c r="N29" s="22"/>
      <c r="O29" s="22"/>
      <c r="P29" s="20" t="s">
        <v>292</v>
      </c>
    </row>
    <row r="30" customFormat="false" ht="15" hidden="false" customHeight="false" outlineLevel="0" collapsed="false">
      <c r="B30" s="4" t="s">
        <v>293</v>
      </c>
      <c r="C30" s="17" t="s">
        <v>88</v>
      </c>
      <c r="D30" s="21" t="n">
        <v>89.882</v>
      </c>
      <c r="E30" s="21" t="n">
        <v>96.453</v>
      </c>
      <c r="F30" s="21" t="n">
        <v>94.194</v>
      </c>
      <c r="G30" s="21" t="n">
        <v>113.367</v>
      </c>
      <c r="H30" s="21" t="n">
        <v>98.109</v>
      </c>
      <c r="I30" s="21" t="n">
        <v>116.187</v>
      </c>
      <c r="J30" s="45" t="n">
        <f aca="false">I30</f>
        <v>116.187</v>
      </c>
      <c r="K30" s="22"/>
      <c r="L30" s="22"/>
      <c r="M30" s="22"/>
      <c r="N30" s="22"/>
      <c r="O30" s="22"/>
      <c r="P30" s="20" t="s">
        <v>292</v>
      </c>
    </row>
    <row r="31" customFormat="false" ht="15" hidden="false" customHeight="false" outlineLevel="0" collapsed="false">
      <c r="B31" s="39" t="s">
        <v>294</v>
      </c>
      <c r="C31" s="40" t="s">
        <v>88</v>
      </c>
      <c r="D31" s="46" t="n">
        <f aca="false">D26+SUM(D27:D30)</f>
        <v>1239.936</v>
      </c>
      <c r="E31" s="46" t="n">
        <f aca="false">E26+SUM(E27:E30)</f>
        <v>1112.992</v>
      </c>
      <c r="F31" s="46" t="n">
        <f aca="false">F26+SUM(F27:F30)</f>
        <v>1415.285</v>
      </c>
      <c r="G31" s="46" t="n">
        <f aca="false">G26+SUM(G27:G30)</f>
        <v>1192.744</v>
      </c>
      <c r="H31" s="46" t="n">
        <f aca="false">H26+SUM(H27:H30)</f>
        <v>1507.694</v>
      </c>
      <c r="I31" s="46" t="n">
        <f aca="false">I26+SUM(I27:I30)</f>
        <v>1611.507</v>
      </c>
      <c r="J31" s="46" t="n">
        <f aca="false">J26+SUM(J27:J30)</f>
        <v>1611.507</v>
      </c>
      <c r="K31" s="42"/>
      <c r="L31" s="42"/>
      <c r="M31" s="42"/>
      <c r="N31" s="42"/>
      <c r="O31" s="42"/>
    </row>
    <row r="32" customFormat="false" ht="15" hidden="false" customHeight="false" outlineLevel="0" collapsed="false">
      <c r="B32" s="6" t="s">
        <v>295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296</v>
      </c>
      <c r="C33" s="17" t="s">
        <v>88</v>
      </c>
      <c r="D33" s="21" t="n">
        <v>21.811</v>
      </c>
      <c r="E33" s="21" t="n">
        <v>22.134</v>
      </c>
      <c r="F33" s="21" t="n">
        <v>22.22</v>
      </c>
      <c r="G33" s="21" t="n">
        <v>22.321</v>
      </c>
      <c r="H33" s="21" t="n">
        <v>22.297</v>
      </c>
      <c r="I33" s="21" t="n">
        <v>22.649</v>
      </c>
      <c r="J33" s="45" t="n">
        <f aca="false">I33</f>
        <v>22.649</v>
      </c>
      <c r="K33" s="22"/>
      <c r="L33" s="22"/>
      <c r="M33" s="22"/>
      <c r="N33" s="22"/>
      <c r="O33" s="22"/>
      <c r="P33" s="20" t="s">
        <v>297</v>
      </c>
    </row>
    <row r="34" customFormat="false" ht="15" hidden="false" customHeight="false" outlineLevel="0" collapsed="false">
      <c r="B34" s="4" t="s">
        <v>298</v>
      </c>
      <c r="C34" s="17" t="s">
        <v>88</v>
      </c>
      <c r="D34" s="21" t="n">
        <v>973.06</v>
      </c>
      <c r="E34" s="21" t="n">
        <v>1153.459</v>
      </c>
      <c r="F34" s="21" t="n">
        <v>1472.17</v>
      </c>
      <c r="G34" s="21" t="n">
        <v>1563.389</v>
      </c>
      <c r="H34" s="21" t="n">
        <v>1531.598</v>
      </c>
      <c r="I34" s="21" t="n">
        <v>1796.411</v>
      </c>
      <c r="J34" s="45" t="n">
        <f aca="false">I34</f>
        <v>1796.411</v>
      </c>
      <c r="K34" s="22"/>
      <c r="L34" s="22"/>
      <c r="M34" s="22"/>
      <c r="N34" s="22"/>
      <c r="O34" s="22"/>
      <c r="P34" s="20" t="s">
        <v>299</v>
      </c>
    </row>
    <row r="35" customFormat="false" ht="15" hidden="false" customHeight="false" outlineLevel="0" collapsed="false">
      <c r="B35" s="4" t="s">
        <v>300</v>
      </c>
      <c r="C35" s="17" t="s">
        <v>88</v>
      </c>
      <c r="D35" s="21" t="n">
        <v>-47.71</v>
      </c>
      <c r="E35" s="21" t="n">
        <v>-42.331</v>
      </c>
      <c r="F35" s="21" t="n">
        <v>-59.893</v>
      </c>
      <c r="G35" s="21" t="n">
        <v>-50.305</v>
      </c>
      <c r="H35" s="21" t="n">
        <v>-49.371</v>
      </c>
      <c r="I35" s="21" t="n">
        <v>-57.109</v>
      </c>
      <c r="J35" s="45" t="n">
        <f aca="false">I35</f>
        <v>-57.109</v>
      </c>
      <c r="K35" s="22"/>
      <c r="L35" s="22"/>
      <c r="M35" s="22"/>
      <c r="N35" s="22"/>
      <c r="O35" s="22"/>
      <c r="P35" s="20" t="s">
        <v>301</v>
      </c>
    </row>
    <row r="36" customFormat="false" ht="15" hidden="false" customHeight="false" outlineLevel="0" collapsed="false">
      <c r="B36" s="4" t="s">
        <v>302</v>
      </c>
      <c r="C36" s="17" t="s">
        <v>88</v>
      </c>
      <c r="D36" s="21" t="n">
        <v>1029.516</v>
      </c>
      <c r="E36" s="21" t="n">
        <v>1183.207</v>
      </c>
      <c r="F36" s="21" t="n">
        <v>1295.972</v>
      </c>
      <c r="G36" s="21" t="n">
        <v>1319.201</v>
      </c>
      <c r="H36" s="21" t="n">
        <v>1329.149</v>
      </c>
      <c r="I36" s="21" t="n">
        <v>1305.691</v>
      </c>
      <c r="J36" s="45" t="n">
        <f aca="false">I36</f>
        <v>1305.691</v>
      </c>
      <c r="K36" s="22"/>
      <c r="L36" s="22"/>
      <c r="M36" s="22"/>
      <c r="N36" s="22"/>
      <c r="O36" s="22"/>
      <c r="P36" s="20" t="s">
        <v>303</v>
      </c>
    </row>
    <row r="37" customFormat="false" ht="15" hidden="false" customHeight="false" outlineLevel="0" collapsed="false">
      <c r="B37" s="4" t="s">
        <v>304</v>
      </c>
      <c r="C37" s="17" t="s">
        <v>88</v>
      </c>
      <c r="D37" s="21" t="n">
        <v>-87.44</v>
      </c>
      <c r="E37" s="21" t="n">
        <v>-86.63</v>
      </c>
      <c r="F37" s="21" t="n">
        <v>-73.479</v>
      </c>
      <c r="G37" s="21" t="n">
        <v>-73.23</v>
      </c>
      <c r="H37" s="21" t="n">
        <v>-73.231</v>
      </c>
      <c r="I37" s="21" t="n">
        <v>-73.229</v>
      </c>
      <c r="J37" s="45" t="n">
        <f aca="false">I37</f>
        <v>-73.229</v>
      </c>
      <c r="K37" s="22"/>
      <c r="L37" s="22"/>
      <c r="M37" s="22"/>
      <c r="N37" s="22"/>
      <c r="O37" s="22"/>
    </row>
    <row r="38" customFormat="false" ht="15" hidden="false" customHeight="false" outlineLevel="0" collapsed="false">
      <c r="B38" s="39" t="s">
        <v>305</v>
      </c>
      <c r="C38" s="40" t="s">
        <v>88</v>
      </c>
      <c r="D38" s="46" t="n">
        <f aca="false">SUM(D33:D37)</f>
        <v>1889.237</v>
      </c>
      <c r="E38" s="46" t="n">
        <f aca="false">SUM(E33:E37)</f>
        <v>2229.839</v>
      </c>
      <c r="F38" s="46" t="n">
        <f aca="false">SUM(F33:F37)</f>
        <v>2656.99</v>
      </c>
      <c r="G38" s="46" t="n">
        <f aca="false">SUM(G33:G37)</f>
        <v>2781.376</v>
      </c>
      <c r="H38" s="46" t="n">
        <f aca="false">SUM(H33:H37)</f>
        <v>2760.442</v>
      </c>
      <c r="I38" s="46" t="n">
        <f aca="false">SUM(I33:I37)</f>
        <v>2994.413</v>
      </c>
      <c r="J38" s="46" t="n">
        <f aca="false">SUM(J33:J37)</f>
        <v>2994.413</v>
      </c>
      <c r="K38" s="42"/>
      <c r="L38" s="42"/>
      <c r="M38" s="42"/>
      <c r="N38" s="42"/>
      <c r="O38" s="42"/>
    </row>
    <row r="39" customFormat="false" ht="15" hidden="false" customHeight="false" outlineLevel="0" collapsed="false">
      <c r="B39" s="4" t="s">
        <v>306</v>
      </c>
      <c r="C39" s="17" t="s">
        <v>88</v>
      </c>
      <c r="D39" s="21" t="n">
        <v>359.041</v>
      </c>
      <c r="E39" s="21" t="n">
        <v>386.351</v>
      </c>
      <c r="F39" s="21" t="n">
        <v>407.248</v>
      </c>
      <c r="G39" s="21" t="n">
        <v>440.685</v>
      </c>
      <c r="H39" s="21" t="n">
        <v>461.377</v>
      </c>
      <c r="I39" s="21" t="n">
        <v>478.797</v>
      </c>
      <c r="J39" s="45" t="n">
        <f aca="false">I39</f>
        <v>478.797</v>
      </c>
      <c r="K39" s="22"/>
      <c r="L39" s="22"/>
      <c r="M39" s="22"/>
      <c r="N39" s="22"/>
      <c r="O39" s="22"/>
    </row>
    <row r="40" customFormat="false" ht="15" hidden="false" customHeight="false" outlineLevel="0" collapsed="false">
      <c r="B40" s="39" t="s">
        <v>307</v>
      </c>
      <c r="C40" s="40" t="s">
        <v>88</v>
      </c>
      <c r="D40" s="46" t="n">
        <f aca="false">D38+D39</f>
        <v>2248.278</v>
      </c>
      <c r="E40" s="46" t="n">
        <f aca="false">E38+E39</f>
        <v>2616.19</v>
      </c>
      <c r="F40" s="46" t="n">
        <f aca="false">F38+F39</f>
        <v>3064.238</v>
      </c>
      <c r="G40" s="46" t="n">
        <f aca="false">G38+G39</f>
        <v>3222.061</v>
      </c>
      <c r="H40" s="46" t="n">
        <f aca="false">H38+H39</f>
        <v>3221.819</v>
      </c>
      <c r="I40" s="46" t="n">
        <f aca="false">I38+I39</f>
        <v>3473.21</v>
      </c>
      <c r="J40" s="46" t="n">
        <f aca="false">J38+J39</f>
        <v>3473.21</v>
      </c>
      <c r="K40" s="42"/>
      <c r="L40" s="42"/>
      <c r="M40" s="42"/>
      <c r="N40" s="42"/>
      <c r="O40" s="42"/>
    </row>
    <row r="41" customFormat="false" ht="15" hidden="false" customHeight="false" outlineLevel="0" collapsed="false">
      <c r="B41" s="39" t="s">
        <v>308</v>
      </c>
      <c r="C41" s="40" t="s">
        <v>88</v>
      </c>
      <c r="D41" s="46" t="n">
        <f aca="false">D31+D40</f>
        <v>3488.214</v>
      </c>
      <c r="E41" s="46" t="n">
        <f aca="false">E31+E40</f>
        <v>3729.182</v>
      </c>
      <c r="F41" s="46" t="n">
        <f aca="false">F31+F40</f>
        <v>4479.523</v>
      </c>
      <c r="G41" s="46" t="n">
        <f aca="false">G31+G40</f>
        <v>4414.805</v>
      </c>
      <c r="H41" s="46" t="n">
        <f aca="false">H31+H40</f>
        <v>4729.513</v>
      </c>
      <c r="I41" s="46" t="n">
        <f aca="false">I31+I40</f>
        <v>5084.717</v>
      </c>
      <c r="J41" s="46" t="n">
        <f aca="false">J31+J40</f>
        <v>5084.717</v>
      </c>
      <c r="K41" s="42"/>
      <c r="L41" s="42"/>
      <c r="M41" s="42"/>
      <c r="N41" s="42"/>
      <c r="O41" s="42"/>
    </row>
    <row r="42" customFormat="false" ht="15" hidden="false" customHeight="false" outlineLevel="0" collapsed="false">
      <c r="B42" s="4" t="s">
        <v>309</v>
      </c>
      <c r="C42" s="17" t="s">
        <v>88</v>
      </c>
      <c r="D42" s="49" t="n">
        <f aca="false">D21-D41</f>
        <v>0</v>
      </c>
      <c r="E42" s="49" t="n">
        <f aca="false">E21-E41</f>
        <v>0</v>
      </c>
      <c r="F42" s="49" t="n">
        <f aca="false">F21-F41</f>
        <v>0</v>
      </c>
      <c r="G42" s="49" t="n">
        <f aca="false">G21-G41</f>
        <v>0</v>
      </c>
      <c r="H42" s="49" t="n">
        <f aca="false">H21-H41</f>
        <v>0</v>
      </c>
      <c r="I42" s="49" t="n">
        <f aca="false">I21-I41</f>
        <v>0</v>
      </c>
      <c r="J42" s="49" t="n">
        <f aca="false">J21-J41</f>
        <v>0</v>
      </c>
      <c r="K42" s="49" t="n">
        <f aca="false">K21-K41</f>
        <v>0</v>
      </c>
      <c r="L42" s="49" t="n">
        <f aca="false">L21-L41</f>
        <v>0</v>
      </c>
      <c r="M42" s="49" t="n">
        <f aca="false">M21-M41</f>
        <v>0</v>
      </c>
      <c r="N42" s="49" t="n">
        <f aca="false">N21-N41</f>
        <v>0</v>
      </c>
      <c r="O42" s="49" t="n">
        <f aca="false">O21-O41</f>
        <v>0</v>
      </c>
      <c r="P42" s="20" t="s">
        <v>310</v>
      </c>
    </row>
    <row r="44" customFormat="false" ht="15" hidden="false" customHeight="false" outlineLevel="0" collapsed="false">
      <c r="B44" s="6" t="s">
        <v>311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customFormat="false" ht="15" hidden="false" customHeight="false" outlineLevel="0" collapsed="false">
      <c r="B45" s="4" t="s">
        <v>312</v>
      </c>
      <c r="C45" s="17" t="s">
        <v>88</v>
      </c>
      <c r="D45" s="45" t="n">
        <f aca="false">D9+D10-D27-D29</f>
        <v>79.717</v>
      </c>
      <c r="E45" s="45" t="n">
        <f aca="false">E9+E10-E27-E29</f>
        <v>182.498</v>
      </c>
      <c r="F45" s="45" t="n">
        <f aca="false">F9+F10-F27-F29</f>
        <v>766.465</v>
      </c>
      <c r="G45" s="45" t="n">
        <f aca="false">G9+G10-G27-G29</f>
        <v>722.264</v>
      </c>
      <c r="H45" s="45" t="n">
        <f aca="false">H9+H10-H27-H29</f>
        <v>278.91</v>
      </c>
      <c r="I45" s="45" t="n">
        <f aca="false">I9+I10-I27-I29</f>
        <v>455.121</v>
      </c>
      <c r="J45" s="45" t="n">
        <f aca="false">J9+J10-J27-J29</f>
        <v>455.121</v>
      </c>
      <c r="K45" s="22"/>
      <c r="L45" s="22"/>
      <c r="M45" s="22"/>
      <c r="N45" s="22"/>
      <c r="O45" s="22"/>
    </row>
    <row r="46" customFormat="false" ht="15" hidden="false" customHeight="false" outlineLevel="0" collapsed="false">
      <c r="B46" s="4" t="s">
        <v>313</v>
      </c>
      <c r="C46" s="17" t="s">
        <v>88</v>
      </c>
      <c r="D46" s="45" t="n">
        <f aca="false">D23+D28</f>
        <v>322.741</v>
      </c>
      <c r="E46" s="45" t="n">
        <f aca="false">E23+E28</f>
        <v>377.178</v>
      </c>
      <c r="F46" s="45" t="n">
        <f aca="false">F23+F28</f>
        <v>431.988</v>
      </c>
      <c r="G46" s="45" t="n">
        <f aca="false">G23+G28</f>
        <v>467.769</v>
      </c>
      <c r="H46" s="45" t="n">
        <f aca="false">H23+H28</f>
        <v>440.018</v>
      </c>
      <c r="I46" s="45" t="n">
        <f aca="false">I23+I28</f>
        <v>526.201</v>
      </c>
      <c r="J46" s="45" t="n">
        <f aca="false">J23+J28</f>
        <v>526.201</v>
      </c>
      <c r="K46" s="22"/>
      <c r="L46" s="22"/>
      <c r="M46" s="22"/>
      <c r="N46" s="22"/>
      <c r="O46" s="22"/>
    </row>
    <row r="48" customFormat="false" ht="15" hidden="false" customHeight="false" outlineLevel="0" collapsed="false">
      <c r="B48" s="6" t="s">
        <v>314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customFormat="false" ht="15" hidden="false" customHeight="false" outlineLevel="0" collapsed="false">
      <c r="B49" s="4" t="s">
        <v>315</v>
      </c>
      <c r="C49" s="17" t="s">
        <v>88</v>
      </c>
      <c r="D49" s="21" t="n">
        <v>3488.214</v>
      </c>
      <c r="E49" s="21" t="n">
        <v>3729.182</v>
      </c>
      <c r="F49" s="21" t="n">
        <v>4479.523</v>
      </c>
      <c r="G49" s="21" t="n">
        <v>4414.805</v>
      </c>
      <c r="H49" s="21" t="n">
        <v>4729.513</v>
      </c>
      <c r="I49" s="21" t="n">
        <v>5084.717</v>
      </c>
    </row>
    <row r="50" customFormat="false" ht="15" hidden="false" customHeight="false" outlineLevel="0" collapsed="false">
      <c r="B50" s="4" t="s">
        <v>255</v>
      </c>
      <c r="C50" s="17" t="s">
        <v>88</v>
      </c>
      <c r="D50" s="45" t="n">
        <f aca="false">D21-D49</f>
        <v>0</v>
      </c>
      <c r="E50" s="45" t="n">
        <f aca="false">E21-E49</f>
        <v>0</v>
      </c>
      <c r="F50" s="45" t="n">
        <f aca="false">F21-F49</f>
        <v>0</v>
      </c>
      <c r="G50" s="45" t="n">
        <f aca="false">G21-G49</f>
        <v>0</v>
      </c>
      <c r="H50" s="45" t="n">
        <f aca="false">H21-H49</f>
        <v>0</v>
      </c>
      <c r="I50" s="45" t="n">
        <f aca="false">I21-I49</f>
        <v>0</v>
      </c>
    </row>
    <row r="51" customFormat="false" ht="15" hidden="false" customHeight="false" outlineLevel="0" collapsed="false">
      <c r="B51" s="4" t="s">
        <v>316</v>
      </c>
      <c r="C51" s="17" t="s">
        <v>88</v>
      </c>
      <c r="D51" s="21" t="n">
        <v>1889.237</v>
      </c>
      <c r="E51" s="21" t="n">
        <v>2229.839</v>
      </c>
      <c r="F51" s="21" t="n">
        <v>2656.99</v>
      </c>
      <c r="G51" s="21" t="n">
        <v>2781.376</v>
      </c>
      <c r="H51" s="21" t="n">
        <v>2760.442</v>
      </c>
      <c r="I51" s="21" t="n">
        <v>2994.413</v>
      </c>
    </row>
    <row r="52" customFormat="false" ht="15" hidden="false" customHeight="false" outlineLevel="0" collapsed="false">
      <c r="B52" s="4" t="s">
        <v>255</v>
      </c>
      <c r="C52" s="17" t="s">
        <v>88</v>
      </c>
      <c r="D52" s="45" t="n">
        <f aca="false">D38-D51</f>
        <v>0</v>
      </c>
      <c r="E52" s="45" t="n">
        <f aca="false">E38-E51</f>
        <v>0</v>
      </c>
      <c r="F52" s="45" t="n">
        <f aca="false">F38-F51</f>
        <v>0</v>
      </c>
      <c r="G52" s="45" t="n">
        <f aca="false">G38-G51</f>
        <v>0</v>
      </c>
      <c r="H52" s="45" t="n">
        <f aca="false">H38-H51</f>
        <v>0</v>
      </c>
      <c r="I52" s="45" t="n">
        <f aca="false">I38-I51</f>
        <v>0</v>
      </c>
    </row>
    <row r="53" customFormat="false" ht="15" hidden="false" customHeight="false" outlineLevel="0" collapsed="false">
      <c r="B53" s="4" t="s">
        <v>317</v>
      </c>
      <c r="C53" s="17" t="s">
        <v>88</v>
      </c>
      <c r="D53" s="21" t="n">
        <v>2248.278</v>
      </c>
      <c r="E53" s="21" t="n">
        <v>2616.19</v>
      </c>
      <c r="F53" s="21" t="n">
        <v>3064.238</v>
      </c>
      <c r="G53" s="21" t="n">
        <v>3222.061</v>
      </c>
      <c r="H53" s="21" t="n">
        <v>3221.819</v>
      </c>
      <c r="I53" s="21" t="n">
        <v>3473.21</v>
      </c>
    </row>
    <row r="54" customFormat="false" ht="15" hidden="false" customHeight="false" outlineLevel="0" collapsed="false">
      <c r="B54" s="4" t="s">
        <v>255</v>
      </c>
      <c r="C54" s="17" t="s">
        <v>88</v>
      </c>
      <c r="D54" s="45" t="n">
        <f aca="false">D40-D53</f>
        <v>0</v>
      </c>
      <c r="E54" s="45" t="n">
        <f aca="false">E40-E53</f>
        <v>0</v>
      </c>
      <c r="F54" s="45" t="n">
        <f aca="false">F40-F53</f>
        <v>0</v>
      </c>
      <c r="G54" s="45" t="n">
        <f aca="false">G40-G53</f>
        <v>0</v>
      </c>
      <c r="H54" s="45" t="n">
        <f aca="false">H40-H53</f>
        <v>0</v>
      </c>
      <c r="I54" s="45" t="n">
        <f aca="false">I40-I53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318</v>
      </c>
    </row>
    <row r="2" customFormat="false" ht="15" hidden="false" customHeight="false" outlineLevel="0" collapsed="false">
      <c r="B2" s="10" t="s">
        <v>319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320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233</v>
      </c>
      <c r="C9" s="17" t="s">
        <v>88</v>
      </c>
      <c r="D9" s="21" t="n">
        <v>703.696</v>
      </c>
      <c r="E9" s="21" t="n">
        <v>634.139</v>
      </c>
      <c r="F9" s="21" t="n">
        <v>635.74</v>
      </c>
      <c r="G9" s="21" t="n">
        <v>587.588</v>
      </c>
      <c r="H9" s="21" t="n">
        <v>311.308</v>
      </c>
      <c r="I9" s="21" t="n">
        <v>284.243</v>
      </c>
      <c r="J9" s="45" t="n">
        <f aca="false">G9+I9-H9</f>
        <v>560.523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321</v>
      </c>
      <c r="C10" s="17" t="s">
        <v>88</v>
      </c>
      <c r="D10" s="21" t="n">
        <v>31.683</v>
      </c>
      <c r="E10" s="21" t="n">
        <v>35.09</v>
      </c>
      <c r="F10" s="21" t="n">
        <v>40.822</v>
      </c>
      <c r="G10" s="21" t="n">
        <v>43.752</v>
      </c>
      <c r="H10" s="21" t="n">
        <v>21.687</v>
      </c>
      <c r="I10" s="21" t="n">
        <v>21.943</v>
      </c>
      <c r="J10" s="45" t="n">
        <f aca="false">G10+I10-H10</f>
        <v>44.008</v>
      </c>
      <c r="K10" s="22"/>
      <c r="L10" s="22"/>
      <c r="M10" s="22"/>
      <c r="N10" s="22"/>
      <c r="O10" s="22"/>
    </row>
    <row r="11" customFormat="false" ht="15" hidden="false" customHeight="false" outlineLevel="0" collapsed="false">
      <c r="B11" s="4" t="s">
        <v>322</v>
      </c>
      <c r="C11" s="17" t="s">
        <v>88</v>
      </c>
      <c r="D11" s="21" t="n">
        <v>28.821</v>
      </c>
      <c r="E11" s="21" t="n">
        <v>30</v>
      </c>
      <c r="F11" s="21" t="n">
        <v>35.022</v>
      </c>
      <c r="G11" s="21" t="n">
        <v>35.344</v>
      </c>
      <c r="H11" s="21" t="n">
        <v>17.612</v>
      </c>
      <c r="I11" s="21" t="n">
        <v>16.711</v>
      </c>
      <c r="J11" s="45" t="n">
        <f aca="false">G11+I11-H11</f>
        <v>34.443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323</v>
      </c>
      <c r="C12" s="17" t="s">
        <v>88</v>
      </c>
      <c r="D12" s="21" t="n">
        <v>6.746</v>
      </c>
      <c r="E12" s="21" t="n">
        <v>8.862</v>
      </c>
      <c r="F12" s="21" t="n">
        <v>8.735</v>
      </c>
      <c r="G12" s="21" t="n">
        <v>8.743</v>
      </c>
      <c r="H12" s="21" t="n">
        <v>8.743</v>
      </c>
      <c r="I12" s="21" t="n">
        <v>9.267</v>
      </c>
      <c r="J12" s="45" t="n">
        <f aca="false">G12+I12-H12</f>
        <v>9.267</v>
      </c>
      <c r="K12" s="22"/>
      <c r="L12" s="22"/>
      <c r="M12" s="22"/>
      <c r="N12" s="22"/>
      <c r="O12" s="22"/>
    </row>
    <row r="13" customFormat="false" ht="15" hidden="false" customHeight="false" outlineLevel="0" collapsed="false">
      <c r="B13" s="4" t="s">
        <v>324</v>
      </c>
      <c r="C13" s="17" t="s">
        <v>88</v>
      </c>
      <c r="D13" s="21" t="n">
        <v>20.381</v>
      </c>
      <c r="E13" s="21" t="n">
        <v>-0.164</v>
      </c>
      <c r="F13" s="21" t="n">
        <v>5.05</v>
      </c>
      <c r="G13" s="21" t="n">
        <v>24.045</v>
      </c>
      <c r="H13" s="21" t="n">
        <v>4.001</v>
      </c>
      <c r="I13" s="21" t="n">
        <v>5.303</v>
      </c>
      <c r="J13" s="45" t="n">
        <f aca="false">G13+I13-H13</f>
        <v>25.347</v>
      </c>
      <c r="K13" s="22"/>
      <c r="L13" s="22"/>
      <c r="M13" s="22"/>
      <c r="N13" s="22"/>
      <c r="O13" s="22"/>
      <c r="P13" s="20" t="s">
        <v>325</v>
      </c>
    </row>
    <row r="14" customFormat="false" ht="15" hidden="false" customHeight="false" outlineLevel="0" collapsed="false">
      <c r="B14" s="4" t="s">
        <v>326</v>
      </c>
      <c r="C14" s="17" t="s">
        <v>88</v>
      </c>
      <c r="D14" s="21" t="n">
        <v>-22.671</v>
      </c>
      <c r="E14" s="21" t="n">
        <v>-26.177</v>
      </c>
      <c r="F14" s="21" t="n">
        <v>-30.501</v>
      </c>
      <c r="G14" s="21" t="n">
        <v>-27.765</v>
      </c>
      <c r="H14" s="21" t="n">
        <v>-12.528</v>
      </c>
      <c r="I14" s="21" t="n">
        <v>-13.909</v>
      </c>
      <c r="J14" s="45" t="n">
        <f aca="false">G14+I14-H14</f>
        <v>-29.146</v>
      </c>
      <c r="K14" s="22"/>
      <c r="L14" s="22"/>
      <c r="M14" s="22"/>
      <c r="N14" s="22"/>
      <c r="O14" s="22"/>
    </row>
    <row r="15" customFormat="false" ht="15" hidden="false" customHeight="false" outlineLevel="0" collapsed="false">
      <c r="B15" s="4" t="s">
        <v>327</v>
      </c>
      <c r="C15" s="17" t="s">
        <v>88</v>
      </c>
      <c r="D15" s="21" t="n">
        <v>-60.154</v>
      </c>
      <c r="E15" s="21" t="n">
        <v>-36.035</v>
      </c>
      <c r="F15" s="21" t="n">
        <v>-85.555</v>
      </c>
      <c r="G15" s="21" t="n">
        <v>83.425</v>
      </c>
      <c r="H15" s="21" t="n">
        <v>-131.119</v>
      </c>
      <c r="I15" s="21" t="n">
        <v>-244.56</v>
      </c>
      <c r="J15" s="45" t="n">
        <f aca="false">G15+I15-H15</f>
        <v>-30.016</v>
      </c>
      <c r="K15" s="22"/>
      <c r="L15" s="22"/>
      <c r="M15" s="22"/>
      <c r="N15" s="22"/>
      <c r="O15" s="22"/>
    </row>
    <row r="16" customFormat="false" ht="15" hidden="false" customHeight="false" outlineLevel="0" collapsed="false">
      <c r="B16" s="4" t="s">
        <v>268</v>
      </c>
      <c r="C16" s="17" t="s">
        <v>88</v>
      </c>
      <c r="D16" s="21" t="n">
        <v>-259.86</v>
      </c>
      <c r="E16" s="21" t="n">
        <v>64.62</v>
      </c>
      <c r="F16" s="21" t="n">
        <v>-41.678</v>
      </c>
      <c r="G16" s="21" t="n">
        <v>11.957</v>
      </c>
      <c r="H16" s="21" t="n">
        <v>-552.956</v>
      </c>
      <c r="I16" s="21" t="n">
        <v>-443.966</v>
      </c>
      <c r="J16" s="45" t="n">
        <f aca="false">G16+I16-H16</f>
        <v>120.947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328</v>
      </c>
      <c r="C17" s="17" t="s">
        <v>88</v>
      </c>
      <c r="D17" s="21" t="n">
        <v>121.993</v>
      </c>
      <c r="E17" s="21" t="n">
        <v>-162.042</v>
      </c>
      <c r="F17" s="21" t="n">
        <v>197.765</v>
      </c>
      <c r="G17" s="21" t="n">
        <v>-203.051</v>
      </c>
      <c r="H17" s="21" t="n">
        <v>149.774</v>
      </c>
      <c r="I17" s="21" t="n">
        <v>339.169</v>
      </c>
      <c r="J17" s="45" t="n">
        <f aca="false">G17+I17-H17</f>
        <v>-13.656</v>
      </c>
      <c r="K17" s="22"/>
      <c r="L17" s="22"/>
      <c r="M17" s="22"/>
      <c r="N17" s="22"/>
      <c r="O17" s="22"/>
    </row>
    <row r="18" customFormat="false" ht="15" hidden="false" customHeight="false" outlineLevel="0" collapsed="false">
      <c r="B18" s="4" t="s">
        <v>329</v>
      </c>
      <c r="C18" s="17" t="s">
        <v>88</v>
      </c>
      <c r="D18" s="21" t="n">
        <v>1.329</v>
      </c>
      <c r="E18" s="21" t="n">
        <v>13.661</v>
      </c>
      <c r="F18" s="21" t="n">
        <v>7.702</v>
      </c>
      <c r="G18" s="21" t="n">
        <v>5.575</v>
      </c>
      <c r="H18" s="21" t="n">
        <v>-1.612</v>
      </c>
      <c r="I18" s="21" t="n">
        <v>4.359</v>
      </c>
      <c r="J18" s="45" t="n">
        <f aca="false">G18+I18-H18</f>
        <v>11.546</v>
      </c>
      <c r="K18" s="22"/>
      <c r="L18" s="22"/>
      <c r="M18" s="22"/>
      <c r="N18" s="22"/>
      <c r="O18" s="22"/>
    </row>
    <row r="19" customFormat="false" ht="15" hidden="false" customHeight="false" outlineLevel="0" collapsed="false">
      <c r="B19" s="39" t="s">
        <v>330</v>
      </c>
      <c r="C19" s="40" t="s">
        <v>88</v>
      </c>
      <c r="D19" s="46" t="n">
        <f aca="false">SUM(D9:D18)</f>
        <v>571.964</v>
      </c>
      <c r="E19" s="46" t="n">
        <f aca="false">SUM(E9:E18)</f>
        <v>561.954</v>
      </c>
      <c r="F19" s="46" t="n">
        <f aca="false">SUM(F9:F18)</f>
        <v>773.102</v>
      </c>
      <c r="G19" s="46" t="n">
        <f aca="false">SUM(G9:G18)</f>
        <v>569.613</v>
      </c>
      <c r="H19" s="46" t="n">
        <f aca="false">SUM(H9:H18)</f>
        <v>-185.09</v>
      </c>
      <c r="I19" s="46" t="n">
        <f aca="false">SUM(I9:I18)</f>
        <v>-21.44</v>
      </c>
      <c r="J19" s="46" t="n">
        <f aca="false">SUM(J9:J18)</f>
        <v>733.263</v>
      </c>
      <c r="K19" s="42"/>
      <c r="L19" s="42"/>
      <c r="M19" s="42"/>
      <c r="N19" s="42"/>
      <c r="O19" s="42"/>
    </row>
    <row r="20" customFormat="false" ht="15" hidden="false" customHeight="false" outlineLevel="0" collapsed="false">
      <c r="B20" s="4" t="s">
        <v>331</v>
      </c>
      <c r="C20" s="17" t="s">
        <v>88</v>
      </c>
      <c r="D20" s="45" t="n">
        <f aca="false">SUM(D15:D18)</f>
        <v>-196.692</v>
      </c>
      <c r="E20" s="45" t="n">
        <f aca="false">SUM(E15:E18)</f>
        <v>-119.796</v>
      </c>
      <c r="F20" s="45" t="n">
        <f aca="false">SUM(F15:F18)</f>
        <v>78.234</v>
      </c>
      <c r="G20" s="45" t="n">
        <f aca="false">SUM(G15:G18)</f>
        <v>-102.094</v>
      </c>
      <c r="H20" s="45" t="n">
        <f aca="false">SUM(H15:H18)</f>
        <v>-535.913</v>
      </c>
      <c r="I20" s="45" t="n">
        <f aca="false">SUM(I15:I18)</f>
        <v>-344.998</v>
      </c>
      <c r="J20" s="45" t="n">
        <f aca="false">SUM(J15:J18)</f>
        <v>88.821</v>
      </c>
      <c r="K20" s="22"/>
      <c r="L20" s="22"/>
      <c r="M20" s="22"/>
      <c r="N20" s="22"/>
      <c r="O20" s="22"/>
      <c r="P20" s="20" t="s">
        <v>332</v>
      </c>
    </row>
    <row r="21" customFormat="false" ht="15" hidden="false" customHeight="false" outlineLevel="0" collapsed="false">
      <c r="B21" s="6" t="s">
        <v>333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Format="false" ht="15" hidden="false" customHeight="false" outlineLevel="0" collapsed="false">
      <c r="B22" s="4" t="s">
        <v>334</v>
      </c>
      <c r="C22" s="17" t="s">
        <v>88</v>
      </c>
      <c r="D22" s="21" t="n">
        <v>-35.652</v>
      </c>
      <c r="E22" s="21" t="n">
        <v>-35.478</v>
      </c>
      <c r="F22" s="21" t="n">
        <v>-30.09</v>
      </c>
      <c r="G22" s="21" t="n">
        <v>-34.55</v>
      </c>
      <c r="H22" s="21" t="n">
        <v>-14.378</v>
      </c>
      <c r="I22" s="21" t="n">
        <v>-15.95</v>
      </c>
      <c r="J22" s="45" t="n">
        <f aca="false">G22+I22-H22</f>
        <v>-36.122</v>
      </c>
      <c r="K22" s="22"/>
      <c r="L22" s="22"/>
      <c r="M22" s="22"/>
      <c r="N22" s="22"/>
      <c r="O22" s="22"/>
    </row>
    <row r="23" customFormat="false" ht="15" hidden="false" customHeight="false" outlineLevel="0" collapsed="false">
      <c r="B23" s="4" t="s">
        <v>335</v>
      </c>
      <c r="C23" s="17" t="s">
        <v>88</v>
      </c>
      <c r="D23" s="21" t="n">
        <v>-0.047</v>
      </c>
      <c r="E23" s="21" t="n">
        <v>-3.822</v>
      </c>
      <c r="F23" s="21" t="n">
        <v>-5.173</v>
      </c>
      <c r="G23" s="21" t="n">
        <v>-19.198</v>
      </c>
      <c r="H23" s="21" t="n">
        <v>-19.383</v>
      </c>
      <c r="I23" s="21" t="n">
        <v>7.663</v>
      </c>
      <c r="J23" s="45" t="n">
        <f aca="false">G23+I23-H23</f>
        <v>7.848</v>
      </c>
      <c r="K23" s="22"/>
      <c r="L23" s="22"/>
      <c r="M23" s="22"/>
      <c r="N23" s="22"/>
      <c r="O23" s="22"/>
    </row>
    <row r="24" customFormat="false" ht="15" hidden="false" customHeight="false" outlineLevel="0" collapsed="false">
      <c r="B24" s="4" t="s">
        <v>336</v>
      </c>
      <c r="C24" s="17" t="s">
        <v>88</v>
      </c>
      <c r="D24" s="21" t="n">
        <v>0</v>
      </c>
      <c r="E24" s="21" t="n">
        <v>0</v>
      </c>
      <c r="F24" s="21" t="n">
        <v>-255.669</v>
      </c>
      <c r="G24" s="21" t="n">
        <v>-44.331</v>
      </c>
      <c r="H24" s="21" t="n">
        <v>255.669</v>
      </c>
      <c r="I24" s="21" t="n">
        <v>200</v>
      </c>
      <c r="J24" s="45" t="n">
        <f aca="false">G24+I24-H24</f>
        <v>-100</v>
      </c>
      <c r="K24" s="22"/>
      <c r="L24" s="22"/>
      <c r="M24" s="22"/>
      <c r="N24" s="22"/>
      <c r="O24" s="22"/>
    </row>
    <row r="25" customFormat="false" ht="15" hidden="false" customHeight="false" outlineLevel="0" collapsed="false">
      <c r="B25" s="4" t="s">
        <v>337</v>
      </c>
      <c r="C25" s="17" t="s">
        <v>88</v>
      </c>
      <c r="D25" s="21" t="n">
        <v>1.863</v>
      </c>
      <c r="E25" s="21" t="n">
        <v>-2.043</v>
      </c>
      <c r="F25" s="21" t="n">
        <v>0.262</v>
      </c>
      <c r="G25" s="21" t="n">
        <v>-0.043</v>
      </c>
      <c r="H25" s="21" t="n">
        <v>0.344</v>
      </c>
      <c r="I25" s="21" t="n">
        <v>0.052</v>
      </c>
      <c r="J25" s="45" t="n">
        <f aca="false">G25+I25-H25</f>
        <v>-0.335</v>
      </c>
      <c r="K25" s="22"/>
      <c r="L25" s="22"/>
      <c r="M25" s="22"/>
      <c r="N25" s="22"/>
      <c r="O25" s="22"/>
    </row>
    <row r="26" customFormat="false" ht="15" hidden="false" customHeight="false" outlineLevel="0" collapsed="false">
      <c r="B26" s="39" t="s">
        <v>338</v>
      </c>
      <c r="C26" s="40" t="s">
        <v>88</v>
      </c>
      <c r="D26" s="46" t="n">
        <f aca="false">SUM(D22:D25)</f>
        <v>-33.836</v>
      </c>
      <c r="E26" s="46" t="n">
        <f aca="false">SUM(E22:E25)</f>
        <v>-41.343</v>
      </c>
      <c r="F26" s="46" t="n">
        <f aca="false">SUM(F22:F25)</f>
        <v>-290.67</v>
      </c>
      <c r="G26" s="46" t="n">
        <f aca="false">SUM(G22:G25)</f>
        <v>-98.122</v>
      </c>
      <c r="H26" s="46" t="n">
        <f aca="false">SUM(H22:H25)</f>
        <v>222.252</v>
      </c>
      <c r="I26" s="46" t="n">
        <f aca="false">SUM(I22:I25)</f>
        <v>191.765</v>
      </c>
      <c r="J26" s="46" t="n">
        <f aca="false">SUM(J22:J25)</f>
        <v>-128.609</v>
      </c>
      <c r="K26" s="42"/>
      <c r="L26" s="42"/>
      <c r="M26" s="42"/>
      <c r="N26" s="42"/>
      <c r="O26" s="42"/>
    </row>
    <row r="27" customFormat="false" ht="15" hidden="false" customHeight="false" outlineLevel="0" collapsed="false">
      <c r="B27" s="6" t="s">
        <v>339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customFormat="false" ht="15" hidden="false" customHeight="false" outlineLevel="0" collapsed="false">
      <c r="B28" s="4" t="s">
        <v>340</v>
      </c>
      <c r="C28" s="17" t="s">
        <v>88</v>
      </c>
      <c r="D28" s="21" t="n">
        <v>-332.447</v>
      </c>
      <c r="E28" s="21" t="n">
        <v>-382.646</v>
      </c>
      <c r="F28" s="21" t="n">
        <v>-423.521</v>
      </c>
      <c r="G28" s="21" t="n">
        <v>-473.765</v>
      </c>
      <c r="H28" s="21" t="n">
        <v>-230.497</v>
      </c>
      <c r="I28" s="21" t="n">
        <v>-255.92</v>
      </c>
      <c r="J28" s="45" t="n">
        <f aca="false">G28+I28-H28</f>
        <v>-499.188</v>
      </c>
      <c r="K28" s="22"/>
      <c r="L28" s="22"/>
      <c r="M28" s="22"/>
      <c r="N28" s="22"/>
      <c r="O28" s="22"/>
    </row>
    <row r="29" customFormat="false" ht="15" hidden="false" customHeight="false" outlineLevel="0" collapsed="false">
      <c r="B29" s="4" t="s">
        <v>341</v>
      </c>
      <c r="C29" s="17" t="s">
        <v>88</v>
      </c>
      <c r="D29" s="21" t="n">
        <v>-69.184</v>
      </c>
      <c r="E29" s="21" t="n">
        <v>-73.019</v>
      </c>
      <c r="F29" s="21" t="n">
        <v>0</v>
      </c>
      <c r="G29" s="21" t="n">
        <v>-131.197</v>
      </c>
      <c r="H29" s="21" t="n">
        <v>-68.83</v>
      </c>
      <c r="I29" s="21" t="n">
        <v>0</v>
      </c>
      <c r="J29" s="45" t="n">
        <f aca="false">G29+I29-H29</f>
        <v>-62.367</v>
      </c>
      <c r="K29" s="22"/>
      <c r="L29" s="22"/>
      <c r="M29" s="22"/>
      <c r="N29" s="22"/>
      <c r="O29" s="22"/>
    </row>
    <row r="30" customFormat="false" ht="15" hidden="false" customHeight="false" outlineLevel="0" collapsed="false">
      <c r="B30" s="4" t="s">
        <v>342</v>
      </c>
      <c r="C30" s="17" t="s">
        <v>88</v>
      </c>
      <c r="D30" s="21" t="n">
        <v>-3.042</v>
      </c>
      <c r="E30" s="21" t="n">
        <v>-4.045</v>
      </c>
      <c r="F30" s="21" t="n">
        <v>-6.027</v>
      </c>
      <c r="G30" s="21" t="n">
        <v>-5.974</v>
      </c>
      <c r="H30" s="21" t="n">
        <v>-3.11</v>
      </c>
      <c r="I30" s="21" t="n">
        <v>-2.398</v>
      </c>
      <c r="J30" s="45" t="n">
        <f aca="false">G30+I30-H30</f>
        <v>-5.262</v>
      </c>
      <c r="K30" s="22"/>
      <c r="L30" s="22"/>
      <c r="M30" s="22"/>
      <c r="N30" s="22"/>
      <c r="O30" s="22"/>
      <c r="P30" s="20" t="s">
        <v>343</v>
      </c>
    </row>
    <row r="31" customFormat="false" ht="15" hidden="false" customHeight="false" outlineLevel="0" collapsed="false">
      <c r="B31" s="4" t="s">
        <v>344</v>
      </c>
      <c r="C31" s="17" t="s">
        <v>88</v>
      </c>
      <c r="D31" s="21" t="n">
        <v>-87.107</v>
      </c>
      <c r="E31" s="21" t="n">
        <v>-2.828</v>
      </c>
      <c r="F31" s="21" t="n">
        <v>-39.673</v>
      </c>
      <c r="G31" s="21" t="n">
        <v>-3.657</v>
      </c>
      <c r="H31" s="21" t="n">
        <v>0</v>
      </c>
      <c r="I31" s="21" t="n">
        <v>-1.403</v>
      </c>
      <c r="J31" s="45" t="n">
        <f aca="false">G31+I31-H31</f>
        <v>-5.06</v>
      </c>
      <c r="K31" s="22"/>
      <c r="L31" s="22"/>
      <c r="M31" s="22"/>
      <c r="N31" s="22"/>
      <c r="O31" s="22"/>
    </row>
    <row r="32" customFormat="false" ht="15" hidden="false" customHeight="false" outlineLevel="0" collapsed="false">
      <c r="B32" s="4" t="s">
        <v>345</v>
      </c>
      <c r="C32" s="17" t="s">
        <v>88</v>
      </c>
      <c r="D32" s="21" t="n">
        <v>-32.6</v>
      </c>
      <c r="E32" s="21" t="n">
        <v>-41</v>
      </c>
      <c r="F32" s="21" t="n">
        <v>-15.4</v>
      </c>
      <c r="G32" s="21" t="n">
        <v>0</v>
      </c>
      <c r="H32" s="21" t="n">
        <v>0</v>
      </c>
      <c r="I32" s="21" t="n">
        <v>0</v>
      </c>
      <c r="J32" s="45" t="n">
        <f aca="false">G32+I32-H32</f>
        <v>0</v>
      </c>
      <c r="K32" s="22"/>
      <c r="L32" s="22"/>
      <c r="M32" s="22"/>
      <c r="N32" s="22"/>
      <c r="O32" s="22"/>
    </row>
    <row r="33" customFormat="false" ht="15" hidden="false" customHeight="false" outlineLevel="0" collapsed="false">
      <c r="B33" s="4" t="s">
        <v>346</v>
      </c>
      <c r="C33" s="17" t="s">
        <v>88</v>
      </c>
      <c r="D33" s="21" t="n">
        <v>20.422</v>
      </c>
      <c r="E33" s="21" t="n">
        <v>44.306</v>
      </c>
      <c r="F33" s="21" t="n">
        <v>326.091</v>
      </c>
      <c r="G33" s="21" t="n">
        <v>46.477</v>
      </c>
      <c r="H33" s="21" t="n">
        <v>28.204</v>
      </c>
      <c r="I33" s="21" t="n">
        <v>22.361</v>
      </c>
      <c r="J33" s="45" t="n">
        <f aca="false">G33+I33-H33</f>
        <v>40.634</v>
      </c>
      <c r="K33" s="22"/>
      <c r="L33" s="22"/>
      <c r="M33" s="22"/>
      <c r="N33" s="22"/>
      <c r="O33" s="22"/>
    </row>
    <row r="34" customFormat="false" ht="15" hidden="false" customHeight="false" outlineLevel="0" collapsed="false">
      <c r="B34" s="4" t="s">
        <v>347</v>
      </c>
      <c r="C34" s="17" t="s">
        <v>88</v>
      </c>
      <c r="D34" s="21" t="n">
        <v>0</v>
      </c>
      <c r="E34" s="21" t="n">
        <v>-0.844</v>
      </c>
      <c r="F34" s="21" t="n">
        <v>0</v>
      </c>
      <c r="G34" s="21" t="n">
        <v>0</v>
      </c>
      <c r="H34" s="21" t="n">
        <v>0</v>
      </c>
      <c r="I34" s="21" t="n">
        <v>0</v>
      </c>
      <c r="J34" s="45" t="n">
        <f aca="false">G34+I34-H34</f>
        <v>0</v>
      </c>
      <c r="K34" s="22"/>
      <c r="L34" s="22"/>
      <c r="M34" s="22"/>
      <c r="N34" s="22"/>
      <c r="O34" s="22"/>
    </row>
    <row r="35" customFormat="false" ht="15" hidden="false" customHeight="false" outlineLevel="0" collapsed="false">
      <c r="B35" s="39" t="s">
        <v>348</v>
      </c>
      <c r="C35" s="40" t="s">
        <v>88</v>
      </c>
      <c r="D35" s="46" t="n">
        <f aca="false">SUM(D28:D34)</f>
        <v>-503.958</v>
      </c>
      <c r="E35" s="46" t="n">
        <f aca="false">SUM(E28:E34)</f>
        <v>-460.076</v>
      </c>
      <c r="F35" s="46" t="n">
        <f aca="false">SUM(F28:F34)</f>
        <v>-158.53</v>
      </c>
      <c r="G35" s="46" t="n">
        <f aca="false">SUM(G28:G34)</f>
        <v>-568.116</v>
      </c>
      <c r="H35" s="46" t="n">
        <f aca="false">SUM(H28:H34)</f>
        <v>-274.233</v>
      </c>
      <c r="I35" s="46" t="n">
        <f aca="false">SUM(I28:I34)</f>
        <v>-237.36</v>
      </c>
      <c r="J35" s="46" t="n">
        <f aca="false">SUM(J28:J34)</f>
        <v>-531.243</v>
      </c>
      <c r="K35" s="42"/>
      <c r="L35" s="42"/>
      <c r="M35" s="42"/>
      <c r="N35" s="42"/>
      <c r="O35" s="42"/>
    </row>
    <row r="36" customFormat="false" ht="15" hidden="false" customHeight="false" outlineLevel="0" collapsed="false">
      <c r="B36" s="4" t="s">
        <v>349</v>
      </c>
      <c r="C36" s="17" t="s">
        <v>88</v>
      </c>
      <c r="D36" s="21" t="n">
        <v>-4.933</v>
      </c>
      <c r="E36" s="21" t="n">
        <v>2.072</v>
      </c>
      <c r="F36" s="21" t="n">
        <v>-7.743</v>
      </c>
      <c r="G36" s="21" t="n">
        <v>3.637</v>
      </c>
      <c r="H36" s="21" t="n">
        <v>3.778</v>
      </c>
      <c r="I36" s="21" t="n">
        <v>-2.059</v>
      </c>
      <c r="J36" s="45" t="n">
        <f aca="false">G36+I36-H36</f>
        <v>-2.2</v>
      </c>
      <c r="K36" s="22"/>
      <c r="L36" s="22"/>
      <c r="M36" s="22"/>
      <c r="N36" s="22"/>
      <c r="O36" s="22"/>
    </row>
    <row r="37" customFormat="false" ht="15" hidden="false" customHeight="false" outlineLevel="0" collapsed="false">
      <c r="B37" s="6" t="s">
        <v>350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customFormat="false" ht="15" hidden="false" customHeight="false" outlineLevel="0" collapsed="false">
      <c r="B38" s="39" t="s">
        <v>351</v>
      </c>
      <c r="C38" s="40" t="s">
        <v>88</v>
      </c>
      <c r="D38" s="46" t="n">
        <f aca="false">D19+D26+D35+D36</f>
        <v>29.237</v>
      </c>
      <c r="E38" s="46" t="n">
        <f aca="false">E19+E26+E35+E36</f>
        <v>62.6070000000001</v>
      </c>
      <c r="F38" s="46" t="n">
        <f aca="false">F19+F26+F35+F36</f>
        <v>316.159</v>
      </c>
      <c r="G38" s="46" t="n">
        <f aca="false">G19+G26+G35+G36</f>
        <v>-92.9880000000001</v>
      </c>
      <c r="H38" s="46" t="n">
        <f aca="false">H19+H26+H35+H36</f>
        <v>-233.293</v>
      </c>
      <c r="I38" s="46" t="n">
        <f aca="false">I19+I26+I35+I36</f>
        <v>-69.094</v>
      </c>
      <c r="J38" s="46" t="n">
        <f aca="false">J19+J26+J35+J36</f>
        <v>71.2109999999999</v>
      </c>
      <c r="K38" s="42"/>
      <c r="L38" s="42"/>
      <c r="M38" s="42"/>
      <c r="N38" s="42"/>
      <c r="O38" s="42"/>
    </row>
    <row r="39" customFormat="false" ht="15" hidden="false" customHeight="false" outlineLevel="0" collapsed="false">
      <c r="B39" s="4" t="s">
        <v>352</v>
      </c>
      <c r="C39" s="17" t="s">
        <v>88</v>
      </c>
      <c r="D39" s="21" t="n">
        <v>118.268</v>
      </c>
      <c r="E39" s="45" t="n">
        <f aca="false">D40</f>
        <v>147.505</v>
      </c>
      <c r="F39" s="45" t="n">
        <f aca="false">E40</f>
        <v>210.112</v>
      </c>
      <c r="G39" s="45" t="n">
        <f aca="false">F40</f>
        <v>526.271</v>
      </c>
      <c r="H39" s="45" t="n">
        <f aca="false">F40</f>
        <v>526.271</v>
      </c>
      <c r="I39" s="45" t="n">
        <f aca="false">G40</f>
        <v>433.283</v>
      </c>
      <c r="J39" s="21" t="n">
        <v>292.978</v>
      </c>
      <c r="K39" s="22"/>
      <c r="L39" s="22"/>
      <c r="M39" s="22"/>
      <c r="N39" s="22"/>
      <c r="O39" s="22"/>
      <c r="P39" s="20" t="s">
        <v>353</v>
      </c>
    </row>
    <row r="40" customFormat="false" ht="15" hidden="false" customHeight="false" outlineLevel="0" collapsed="false">
      <c r="B40" s="39" t="s">
        <v>354</v>
      </c>
      <c r="C40" s="40" t="s">
        <v>88</v>
      </c>
      <c r="D40" s="46" t="n">
        <f aca="false">D39+D38</f>
        <v>147.505</v>
      </c>
      <c r="E40" s="46" t="n">
        <f aca="false">E39+E38</f>
        <v>210.112</v>
      </c>
      <c r="F40" s="46" t="n">
        <f aca="false">F39+F38</f>
        <v>526.271</v>
      </c>
      <c r="G40" s="46" t="n">
        <f aca="false">G39+G38</f>
        <v>433.283</v>
      </c>
      <c r="H40" s="46" t="n">
        <f aca="false">H39+H38</f>
        <v>292.978</v>
      </c>
      <c r="I40" s="46" t="n">
        <f aca="false">I39+I38</f>
        <v>364.189</v>
      </c>
      <c r="J40" s="46" t="n">
        <f aca="false">J39+J38</f>
        <v>364.189</v>
      </c>
      <c r="K40" s="42"/>
      <c r="L40" s="42"/>
      <c r="M40" s="42"/>
      <c r="N40" s="42"/>
      <c r="O40" s="42"/>
    </row>
    <row r="41" customFormat="false" ht="15" hidden="false" customHeight="false" outlineLevel="0" collapsed="false">
      <c r="B41" s="4" t="s">
        <v>355</v>
      </c>
      <c r="C41" s="17" t="s">
        <v>88</v>
      </c>
      <c r="K41" s="22"/>
      <c r="L41" s="22"/>
      <c r="M41" s="22"/>
      <c r="N41" s="22"/>
      <c r="O41" s="22"/>
    </row>
    <row r="42" customFormat="false" ht="15" hidden="false" customHeight="false" outlineLevel="0" collapsed="false">
      <c r="B42" s="4" t="s">
        <v>356</v>
      </c>
      <c r="C42" s="17" t="s">
        <v>88</v>
      </c>
      <c r="D42" s="45" t="n">
        <f aca="false">D19+D22</f>
        <v>536.312</v>
      </c>
      <c r="E42" s="45" t="n">
        <f aca="false">E19+E22</f>
        <v>526.476</v>
      </c>
      <c r="F42" s="45" t="n">
        <f aca="false">F19+F22</f>
        <v>743.012</v>
      </c>
      <c r="G42" s="45" t="n">
        <f aca="false">G19+G22</f>
        <v>535.063</v>
      </c>
      <c r="H42" s="45" t="n">
        <f aca="false">H19+H22</f>
        <v>-199.468</v>
      </c>
      <c r="I42" s="45" t="n">
        <f aca="false">I19+I22</f>
        <v>-37.39</v>
      </c>
      <c r="J42" s="45" t="n">
        <f aca="false">J19+J22</f>
        <v>697.141</v>
      </c>
      <c r="K42" s="22"/>
      <c r="L42" s="22"/>
      <c r="M42" s="22"/>
      <c r="N42" s="22"/>
      <c r="O42" s="22"/>
    </row>
    <row r="43" customFormat="false" ht="15" hidden="false" customHeight="false" outlineLevel="0" collapsed="false">
      <c r="B43" s="4" t="s">
        <v>357</v>
      </c>
      <c r="C43" s="17" t="s">
        <v>122</v>
      </c>
      <c r="D43" s="50" t="n">
        <f aca="false">-(D28+D29)/D42</f>
        <v>0.748875654469786</v>
      </c>
      <c r="E43" s="50" t="n">
        <f aca="false">-(E28+E29)/E42</f>
        <v>0.86550004178728</v>
      </c>
      <c r="F43" s="50" t="n">
        <f aca="false">-(F28+F29)/F42</f>
        <v>0.570005598832859</v>
      </c>
      <c r="G43" s="50" t="n">
        <f aca="false">-(G28+G29)/G42</f>
        <v>1.1306369530317</v>
      </c>
      <c r="K43" s="51"/>
      <c r="L43" s="51"/>
      <c r="M43" s="51"/>
      <c r="N43" s="51"/>
      <c r="O43" s="51"/>
      <c r="P43" s="20" t="s">
        <v>358</v>
      </c>
    </row>
    <row r="45" customFormat="false" ht="15" hidden="false" customHeight="false" outlineLevel="0" collapsed="false">
      <c r="B45" s="6" t="s">
        <v>314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customFormat="false" ht="15" hidden="false" customHeight="false" outlineLevel="0" collapsed="false">
      <c r="B46" s="4" t="s">
        <v>359</v>
      </c>
      <c r="C46" s="17" t="s">
        <v>88</v>
      </c>
      <c r="D46" s="21" t="n">
        <v>571.964</v>
      </c>
      <c r="E46" s="21" t="n">
        <v>561.954</v>
      </c>
      <c r="F46" s="21" t="n">
        <v>773.102</v>
      </c>
      <c r="G46" s="21" t="n">
        <v>569.613</v>
      </c>
      <c r="H46" s="21" t="n">
        <v>-185.09</v>
      </c>
      <c r="I46" s="21" t="n">
        <v>-21.44</v>
      </c>
    </row>
    <row r="47" customFormat="false" ht="15" hidden="false" customHeight="false" outlineLevel="0" collapsed="false">
      <c r="B47" s="4" t="s">
        <v>255</v>
      </c>
      <c r="C47" s="17" t="s">
        <v>88</v>
      </c>
      <c r="D47" s="45" t="n">
        <f aca="false">D19-D46</f>
        <v>0</v>
      </c>
      <c r="E47" s="45" t="n">
        <f aca="false">E19-E46</f>
        <v>0</v>
      </c>
      <c r="F47" s="45" t="n">
        <f aca="false">F19-F46</f>
        <v>0</v>
      </c>
      <c r="G47" s="45" t="n">
        <f aca="false">G19-G46</f>
        <v>0</v>
      </c>
      <c r="H47" s="45" t="n">
        <f aca="false">H19-H46</f>
        <v>0</v>
      </c>
      <c r="I47" s="45" t="n">
        <f aca="false">I19-I46</f>
        <v>0</v>
      </c>
    </row>
    <row r="48" customFormat="false" ht="15" hidden="false" customHeight="false" outlineLevel="0" collapsed="false">
      <c r="B48" s="4" t="s">
        <v>360</v>
      </c>
      <c r="C48" s="17" t="s">
        <v>88</v>
      </c>
      <c r="D48" s="21" t="n">
        <v>-33.836</v>
      </c>
      <c r="E48" s="21" t="n">
        <v>-41.343</v>
      </c>
      <c r="F48" s="21" t="n">
        <v>-290.67</v>
      </c>
      <c r="G48" s="21" t="n">
        <v>-98.122</v>
      </c>
      <c r="H48" s="21" t="n">
        <v>222.252</v>
      </c>
      <c r="I48" s="21" t="n">
        <v>191.765</v>
      </c>
    </row>
    <row r="49" customFormat="false" ht="15" hidden="false" customHeight="false" outlineLevel="0" collapsed="false">
      <c r="B49" s="4" t="s">
        <v>255</v>
      </c>
      <c r="C49" s="17" t="s">
        <v>88</v>
      </c>
      <c r="D49" s="45" t="n">
        <f aca="false">D26-D48</f>
        <v>0</v>
      </c>
      <c r="E49" s="45" t="n">
        <f aca="false">E26-E48</f>
        <v>0</v>
      </c>
      <c r="F49" s="45" t="n">
        <f aca="false">F26-F48</f>
        <v>0</v>
      </c>
      <c r="G49" s="45" t="n">
        <f aca="false">G26-G48</f>
        <v>0</v>
      </c>
      <c r="H49" s="45" t="n">
        <f aca="false">H26-H48</f>
        <v>0</v>
      </c>
      <c r="I49" s="45" t="n">
        <f aca="false">I26-I48</f>
        <v>0</v>
      </c>
    </row>
    <row r="50" customFormat="false" ht="15" hidden="false" customHeight="false" outlineLevel="0" collapsed="false">
      <c r="B50" s="4" t="s">
        <v>361</v>
      </c>
      <c r="C50" s="17" t="s">
        <v>88</v>
      </c>
      <c r="D50" s="21" t="n">
        <v>-503.958</v>
      </c>
      <c r="E50" s="21" t="n">
        <v>-460.076</v>
      </c>
      <c r="F50" s="21" t="n">
        <v>-158.53</v>
      </c>
      <c r="G50" s="21" t="n">
        <v>-568.116</v>
      </c>
      <c r="H50" s="21" t="n">
        <v>-274.233</v>
      </c>
      <c r="I50" s="21" t="n">
        <v>-237.36</v>
      </c>
    </row>
    <row r="51" customFormat="false" ht="15" hidden="false" customHeight="false" outlineLevel="0" collapsed="false">
      <c r="B51" s="4" t="s">
        <v>255</v>
      </c>
      <c r="C51" s="17" t="s">
        <v>88</v>
      </c>
      <c r="D51" s="45" t="n">
        <f aca="false">D35-D50</f>
        <v>0</v>
      </c>
      <c r="E51" s="45" t="n">
        <f aca="false">E35-E50</f>
        <v>0</v>
      </c>
      <c r="F51" s="45" t="n">
        <f aca="false">F35-F50</f>
        <v>0</v>
      </c>
      <c r="G51" s="45" t="n">
        <f aca="false">G35-G50</f>
        <v>0</v>
      </c>
      <c r="H51" s="45" t="n">
        <f aca="false">H35-H50</f>
        <v>0</v>
      </c>
      <c r="I51" s="45" t="n">
        <f aca="false">I35-I50</f>
        <v>0</v>
      </c>
    </row>
    <row r="52" customFormat="false" ht="15" hidden="false" customHeight="false" outlineLevel="0" collapsed="false">
      <c r="B52" s="4" t="s">
        <v>362</v>
      </c>
      <c r="C52" s="17" t="s">
        <v>88</v>
      </c>
      <c r="D52" s="21" t="n">
        <v>147.505</v>
      </c>
      <c r="E52" s="21" t="n">
        <v>210.112</v>
      </c>
      <c r="F52" s="21" t="n">
        <v>526.271</v>
      </c>
      <c r="G52" s="21" t="n">
        <v>433.283</v>
      </c>
      <c r="H52" s="21" t="n">
        <v>292.978</v>
      </c>
      <c r="I52" s="21" t="n">
        <v>364.189</v>
      </c>
    </row>
    <row r="53" customFormat="false" ht="15" hidden="false" customHeight="false" outlineLevel="0" collapsed="false">
      <c r="B53" s="4" t="s">
        <v>255</v>
      </c>
      <c r="C53" s="17" t="s">
        <v>88</v>
      </c>
      <c r="D53" s="45" t="n">
        <f aca="false">D40-D52</f>
        <v>0</v>
      </c>
      <c r="E53" s="45" t="n">
        <f aca="false">E40-E52</f>
        <v>0</v>
      </c>
      <c r="F53" s="45" t="n">
        <f aca="false">F40-F52</f>
        <v>0</v>
      </c>
      <c r="G53" s="45" t="n">
        <f aca="false">G40-G52</f>
        <v>0</v>
      </c>
      <c r="H53" s="45" t="n">
        <f aca="false">H40-H52</f>
        <v>0</v>
      </c>
      <c r="I53" s="45" t="n">
        <f aca="false">I40-I52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363</v>
      </c>
    </row>
    <row r="2" customFormat="false" ht="15" hidden="false" customHeight="false" outlineLevel="0" collapsed="false">
      <c r="B2" s="10" t="s">
        <v>364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365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366</v>
      </c>
      <c r="C9" s="17" t="s">
        <v>88</v>
      </c>
      <c r="G9" s="21" t="n">
        <v>500</v>
      </c>
      <c r="I9" s="21" t="n">
        <v>600</v>
      </c>
      <c r="K9" s="22"/>
      <c r="L9" s="22"/>
      <c r="M9" s="22"/>
      <c r="N9" s="22"/>
      <c r="O9" s="22"/>
      <c r="P9" s="20" t="s">
        <v>367</v>
      </c>
    </row>
    <row r="10" customFormat="false" ht="15" hidden="false" customHeight="false" outlineLevel="0" collapsed="false">
      <c r="B10" s="4" t="s">
        <v>368</v>
      </c>
      <c r="C10" s="17" t="s">
        <v>88</v>
      </c>
      <c r="K10" s="22"/>
      <c r="L10" s="22"/>
      <c r="M10" s="22"/>
      <c r="N10" s="22"/>
      <c r="O10" s="22"/>
    </row>
    <row r="11" customFormat="false" ht="15" hidden="false" customHeight="false" outlineLevel="0" collapsed="false">
      <c r="B11" s="4" t="s">
        <v>369</v>
      </c>
      <c r="C11" s="17" t="s">
        <v>88</v>
      </c>
      <c r="K11" s="22"/>
      <c r="L11" s="22"/>
      <c r="M11" s="22"/>
      <c r="N11" s="22"/>
      <c r="O11" s="22"/>
      <c r="P11" s="20" t="s">
        <v>370</v>
      </c>
    </row>
    <row r="12" customFormat="false" ht="15" hidden="false" customHeight="false" outlineLevel="0" collapsed="false">
      <c r="B12" s="39" t="s">
        <v>371</v>
      </c>
      <c r="C12" s="40" t="s">
        <v>88</v>
      </c>
      <c r="D12" s="52" t="n">
        <v>56.4</v>
      </c>
      <c r="E12" s="52" t="n">
        <v>15.4</v>
      </c>
      <c r="F12" s="52" t="n">
        <v>0</v>
      </c>
      <c r="G12" s="52" t="n">
        <v>0</v>
      </c>
      <c r="H12" s="47"/>
      <c r="I12" s="52" t="n">
        <v>0</v>
      </c>
      <c r="J12" s="47"/>
      <c r="K12" s="42"/>
      <c r="L12" s="42"/>
      <c r="M12" s="42"/>
      <c r="N12" s="42"/>
      <c r="O12" s="42"/>
    </row>
    <row r="13" customFormat="false" ht="15" hidden="false" customHeight="false" outlineLevel="0" collapsed="false">
      <c r="B13" s="4" t="s">
        <v>372</v>
      </c>
      <c r="C13" s="17" t="s">
        <v>88</v>
      </c>
      <c r="G13" s="45" t="n">
        <f aca="false">G9-G12</f>
        <v>500</v>
      </c>
      <c r="I13" s="45" t="n">
        <f aca="false">I9-I12</f>
        <v>600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4" t="s">
        <v>373</v>
      </c>
      <c r="C14" s="17" t="s">
        <v>85</v>
      </c>
      <c r="K14" s="26"/>
      <c r="L14" s="26"/>
      <c r="M14" s="26"/>
      <c r="N14" s="26"/>
      <c r="O14" s="26"/>
    </row>
    <row r="15" customFormat="false" ht="15" hidden="false" customHeight="false" outlineLevel="0" collapsed="false">
      <c r="B15" s="4" t="s">
        <v>374</v>
      </c>
      <c r="C15" s="17" t="s">
        <v>88</v>
      </c>
      <c r="K15" s="22"/>
      <c r="L15" s="22"/>
      <c r="M15" s="22"/>
      <c r="N15" s="22"/>
      <c r="O15" s="22"/>
    </row>
    <row r="17" customFormat="false" ht="15" hidden="false" customHeight="false" outlineLevel="0" collapsed="false">
      <c r="B17" s="6" t="s">
        <v>375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customFormat="false" ht="15" hidden="false" customHeight="false" outlineLevel="0" collapsed="false">
      <c r="B18" s="4" t="s">
        <v>376</v>
      </c>
      <c r="C18" s="17" t="s">
        <v>88</v>
      </c>
      <c r="K18" s="22"/>
      <c r="L18" s="22"/>
      <c r="M18" s="22"/>
      <c r="N18" s="22"/>
      <c r="O18" s="22"/>
    </row>
    <row r="19" customFormat="false" ht="15" hidden="false" customHeight="false" outlineLevel="0" collapsed="false">
      <c r="B19" s="4" t="s">
        <v>377</v>
      </c>
      <c r="C19" s="17" t="s">
        <v>88</v>
      </c>
      <c r="K19" s="22"/>
      <c r="L19" s="22"/>
      <c r="M19" s="22"/>
      <c r="N19" s="22"/>
      <c r="O19" s="22"/>
    </row>
    <row r="21" customFormat="false" ht="15" hidden="false" customHeight="false" outlineLevel="0" collapsed="false">
      <c r="B21" s="6" t="s">
        <v>378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Format="false" ht="15" hidden="false" customHeight="false" outlineLevel="0" collapsed="false">
      <c r="B22" s="4" t="s">
        <v>379</v>
      </c>
      <c r="C22" s="17" t="s">
        <v>122</v>
      </c>
      <c r="D22" s="50" t="n">
        <f aca="false">BS!D27/IS!D33</f>
        <v>0.065333659229364</v>
      </c>
      <c r="E22" s="50" t="n">
        <f aca="false">BS!E27/IS!E33</f>
        <v>0.0185564525846488</v>
      </c>
      <c r="F22" s="50" t="n">
        <f aca="false">BS!F27/IS!F33</f>
        <v>0</v>
      </c>
      <c r="G22" s="50" t="n">
        <f aca="false">BS!G27/IS!G33</f>
        <v>0</v>
      </c>
      <c r="K22" s="51"/>
      <c r="L22" s="51"/>
      <c r="M22" s="51"/>
      <c r="N22" s="51"/>
      <c r="O22" s="51"/>
      <c r="P22" s="20" t="s">
        <v>380</v>
      </c>
    </row>
    <row r="23" customFormat="false" ht="15" hidden="false" customHeight="false" outlineLevel="0" collapsed="false">
      <c r="B23" s="4" t="s">
        <v>381</v>
      </c>
      <c r="C23" s="17" t="s">
        <v>122</v>
      </c>
      <c r="D23" s="50" t="n">
        <f aca="false">(BS!D27+BS!D46)/IS!D33</f>
        <v>0.439196256983693</v>
      </c>
      <c r="E23" s="50" t="n">
        <f aca="false">(BS!E27+BS!E46)/IS!E33</f>
        <v>0.473042535245211</v>
      </c>
      <c r="F23" s="50" t="n">
        <f aca="false">(BS!F27+BS!F46)/IS!F33</f>
        <v>0.525151441106642</v>
      </c>
      <c r="G23" s="50" t="n">
        <f aca="false">(BS!G27+BS!G46)/IS!G33</f>
        <v>0.612183761528284</v>
      </c>
      <c r="K23" s="51"/>
      <c r="L23" s="51"/>
      <c r="M23" s="51"/>
      <c r="N23" s="51"/>
      <c r="O23" s="51"/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382</v>
      </c>
    </row>
    <row r="2" customFormat="false" ht="15" hidden="false" customHeight="false" outlineLevel="0" collapsed="false">
      <c r="B2" s="10" t="s">
        <v>383</v>
      </c>
    </row>
    <row r="4" customFormat="false" ht="15" hidden="false" customHeight="false" outlineLevel="0" collapsed="false">
      <c r="B4" s="11" t="s">
        <v>67</v>
      </c>
      <c r="C4" s="11" t="s">
        <v>12</v>
      </c>
      <c r="G4" s="12" t="s">
        <v>71</v>
      </c>
      <c r="I4" s="12" t="s">
        <v>384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G5" s="15" t="n">
        <v>46022</v>
      </c>
      <c r="I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G6" s="16" t="n">
        <v>52</v>
      </c>
      <c r="I6" s="16" t="n">
        <v>26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385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83</v>
      </c>
      <c r="C9" s="17" t="s">
        <v>88</v>
      </c>
      <c r="G9" s="24" t="n">
        <f aca="false">IS!G8</f>
        <v>7239.29</v>
      </c>
      <c r="I9" s="24" t="n">
        <f aca="false">IS!I8</f>
        <v>3637.869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386</v>
      </c>
      <c r="C10" s="17" t="s">
        <v>85</v>
      </c>
      <c r="K10" s="19"/>
      <c r="L10" s="19"/>
      <c r="M10" s="19"/>
      <c r="N10" s="19"/>
      <c r="O10" s="19"/>
    </row>
    <row r="11" customFormat="false" ht="15" hidden="false" customHeight="false" outlineLevel="0" collapsed="false">
      <c r="B11" s="4" t="s">
        <v>387</v>
      </c>
      <c r="C11" s="17" t="s">
        <v>88</v>
      </c>
      <c r="G11" s="24" t="n">
        <f aca="false">IS!G33</f>
        <v>764.099</v>
      </c>
      <c r="I11" s="24" t="n">
        <f aca="false">IS!I33</f>
        <v>370.499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252</v>
      </c>
      <c r="C12" s="17" t="s">
        <v>85</v>
      </c>
      <c r="G12" s="23" t="n">
        <f aca="false">G11/G9</f>
        <v>0.105548886700215</v>
      </c>
      <c r="I12" s="23" t="n">
        <f aca="false">I11/I9</f>
        <v>0.101845063689759</v>
      </c>
      <c r="K12" s="19"/>
      <c r="L12" s="19"/>
      <c r="M12" s="19"/>
      <c r="N12" s="19"/>
      <c r="O12" s="19"/>
    </row>
    <row r="13" customFormat="false" ht="15" hidden="false" customHeight="false" outlineLevel="0" collapsed="false">
      <c r="B13" s="4" t="s">
        <v>388</v>
      </c>
      <c r="C13" s="17" t="s">
        <v>88</v>
      </c>
      <c r="G13" s="24" t="n">
        <f aca="false">IS!G15</f>
        <v>720.347</v>
      </c>
      <c r="I13" s="24" t="n">
        <f aca="false">IS!I15</f>
        <v>348.556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4" t="s">
        <v>389</v>
      </c>
      <c r="C14" s="17" t="s">
        <v>88</v>
      </c>
      <c r="G14" s="45" t="n">
        <f aca="false">-G13*Inputs!K16</f>
        <v>-0</v>
      </c>
      <c r="I14" s="45" t="n">
        <f aca="false">-I13*Inputs!K16</f>
        <v>-0</v>
      </c>
      <c r="K14" s="22"/>
      <c r="L14" s="22"/>
      <c r="M14" s="22"/>
      <c r="N14" s="22"/>
      <c r="O14" s="22"/>
      <c r="P14" s="20" t="s">
        <v>390</v>
      </c>
    </row>
    <row r="15" customFormat="false" ht="15" hidden="false" customHeight="false" outlineLevel="0" collapsed="false">
      <c r="B15" s="39" t="s">
        <v>391</v>
      </c>
      <c r="C15" s="40" t="s">
        <v>88</v>
      </c>
      <c r="D15" s="47"/>
      <c r="E15" s="47"/>
      <c r="F15" s="47"/>
      <c r="G15" s="46" t="n">
        <f aca="false">G13+G14</f>
        <v>720.347</v>
      </c>
      <c r="H15" s="47"/>
      <c r="I15" s="46" t="n">
        <f aca="false">I13+I14</f>
        <v>348.556</v>
      </c>
      <c r="J15" s="47"/>
      <c r="K15" s="42"/>
      <c r="L15" s="42"/>
      <c r="M15" s="42"/>
      <c r="N15" s="42"/>
      <c r="O15" s="42"/>
    </row>
    <row r="16" customFormat="false" ht="15" hidden="false" customHeight="false" outlineLevel="0" collapsed="false">
      <c r="B16" s="4" t="s">
        <v>392</v>
      </c>
      <c r="C16" s="17" t="s">
        <v>88</v>
      </c>
      <c r="G16" s="24" t="n">
        <f aca="false">IS!G32</f>
        <v>43.752</v>
      </c>
      <c r="I16" s="24" t="n">
        <f aca="false">IS!I32</f>
        <v>21.943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393</v>
      </c>
      <c r="C17" s="17" t="s">
        <v>88</v>
      </c>
      <c r="G17" s="24" t="n">
        <f aca="false">CF!G22</f>
        <v>-34.55</v>
      </c>
      <c r="I17" s="24" t="n">
        <f aca="false">CF!I22</f>
        <v>-15.95</v>
      </c>
      <c r="K17" s="22"/>
      <c r="L17" s="22"/>
      <c r="M17" s="22"/>
      <c r="N17" s="22"/>
      <c r="O17" s="22"/>
      <c r="P17" s="20" t="s">
        <v>394</v>
      </c>
    </row>
    <row r="18" customFormat="false" ht="15" hidden="false" customHeight="false" outlineLevel="0" collapsed="false">
      <c r="B18" s="4" t="s">
        <v>395</v>
      </c>
      <c r="C18" s="17" t="s">
        <v>88</v>
      </c>
      <c r="G18" s="24" t="n">
        <f aca="false">CF!G23</f>
        <v>-19.198</v>
      </c>
      <c r="I18" s="24" t="n">
        <f aca="false">CF!I23</f>
        <v>7.663</v>
      </c>
      <c r="K18" s="22"/>
      <c r="L18" s="22"/>
      <c r="M18" s="22"/>
      <c r="N18" s="22"/>
      <c r="O18" s="22"/>
      <c r="P18" s="20" t="s">
        <v>396</v>
      </c>
    </row>
    <row r="19" customFormat="false" ht="15" hidden="false" customHeight="false" outlineLevel="0" collapsed="false">
      <c r="B19" s="4" t="s">
        <v>397</v>
      </c>
      <c r="C19" s="17" t="s">
        <v>88</v>
      </c>
      <c r="G19" s="24" t="n">
        <f aca="false">CF!G20</f>
        <v>-102.094</v>
      </c>
      <c r="I19" s="24" t="n">
        <f aca="false">CF!I20</f>
        <v>-344.998</v>
      </c>
      <c r="K19" s="22"/>
      <c r="L19" s="22"/>
      <c r="M19" s="22"/>
      <c r="N19" s="22"/>
      <c r="O19" s="22"/>
      <c r="P19" s="20" t="s">
        <v>398</v>
      </c>
    </row>
    <row r="20" customFormat="false" ht="15" hidden="false" customHeight="false" outlineLevel="0" collapsed="false">
      <c r="B20" s="39" t="s">
        <v>399</v>
      </c>
      <c r="C20" s="40" t="s">
        <v>88</v>
      </c>
      <c r="D20" s="47"/>
      <c r="E20" s="47"/>
      <c r="F20" s="47"/>
      <c r="G20" s="46" t="n">
        <f aca="false">G15+G16+G17+G18+G19</f>
        <v>608.257</v>
      </c>
      <c r="H20" s="47"/>
      <c r="I20" s="46" t="n">
        <f aca="false">I15+I16+I17+I18+I19</f>
        <v>17.2139999999999</v>
      </c>
      <c r="J20" s="47"/>
      <c r="K20" s="42"/>
      <c r="L20" s="42"/>
      <c r="M20" s="42"/>
      <c r="N20" s="42"/>
      <c r="O20" s="42"/>
    </row>
    <row r="21" customFormat="false" ht="15" hidden="false" customHeight="false" outlineLevel="0" collapsed="false">
      <c r="B21" s="4" t="s">
        <v>400</v>
      </c>
      <c r="C21" s="17" t="s">
        <v>85</v>
      </c>
      <c r="G21" s="23" t="n">
        <f aca="false">G20/G9</f>
        <v>0.0840216374810237</v>
      </c>
      <c r="I21" s="23" t="n">
        <f aca="false">I20/I9</f>
        <v>0.00473189111537548</v>
      </c>
      <c r="K21" s="19"/>
      <c r="L21" s="19"/>
      <c r="M21" s="19"/>
      <c r="N21" s="19"/>
      <c r="O21" s="19"/>
    </row>
    <row r="23" customFormat="false" ht="15" hidden="false" customHeight="false" outlineLevel="0" collapsed="false">
      <c r="B23" s="6" t="s">
        <v>401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B24" s="4" t="s">
        <v>402</v>
      </c>
      <c r="C24" s="17" t="s">
        <v>88</v>
      </c>
      <c r="K24" s="22"/>
      <c r="L24" s="22"/>
      <c r="M24" s="22"/>
      <c r="N24" s="22"/>
      <c r="O24" s="22"/>
      <c r="P24" s="20" t="s">
        <v>403</v>
      </c>
    </row>
    <row r="25" customFormat="false" ht="15" hidden="false" customHeight="false" outlineLevel="0" collapsed="false">
      <c r="B25" s="4" t="s">
        <v>404</v>
      </c>
      <c r="C25" s="17" t="s">
        <v>88</v>
      </c>
      <c r="K25" s="22"/>
      <c r="L25" s="22"/>
      <c r="M25" s="22"/>
      <c r="N25" s="22"/>
      <c r="O25" s="22"/>
      <c r="P25" s="20" t="s">
        <v>405</v>
      </c>
    </row>
    <row r="26" customFormat="false" ht="15" hidden="false" customHeight="false" outlineLevel="0" collapsed="false">
      <c r="B26" s="4" t="s">
        <v>406</v>
      </c>
      <c r="C26" s="17" t="s">
        <v>407</v>
      </c>
      <c r="K26" s="53" t="n">
        <f aca="false">$D$68</f>
        <v>46203</v>
      </c>
      <c r="L26" s="53" t="n">
        <f aca="false">K27</f>
        <v>46387</v>
      </c>
      <c r="M26" s="53" t="n">
        <f aca="false">L27</f>
        <v>46752</v>
      </c>
      <c r="N26" s="53" t="n">
        <f aca="false">M27</f>
        <v>47118</v>
      </c>
      <c r="O26" s="53" t="n">
        <f aca="false">N27</f>
        <v>47483</v>
      </c>
    </row>
    <row r="27" customFormat="false" ht="15" hidden="false" customHeight="false" outlineLevel="0" collapsed="false">
      <c r="B27" s="4" t="s">
        <v>408</v>
      </c>
      <c r="C27" s="17" t="s">
        <v>407</v>
      </c>
      <c r="K27" s="54" t="n">
        <f aca="false">IS!K5</f>
        <v>46387</v>
      </c>
      <c r="L27" s="54" t="n">
        <f aca="false">IS!L5</f>
        <v>46752</v>
      </c>
      <c r="M27" s="54" t="n">
        <f aca="false">IS!M5</f>
        <v>47118</v>
      </c>
      <c r="N27" s="54" t="n">
        <f aca="false">IS!N5</f>
        <v>47483</v>
      </c>
      <c r="O27" s="54" t="n">
        <f aca="false">IS!O5</f>
        <v>47848</v>
      </c>
    </row>
    <row r="28" customFormat="false" ht="15" hidden="false" customHeight="false" outlineLevel="0" collapsed="false">
      <c r="B28" s="4" t="s">
        <v>409</v>
      </c>
      <c r="C28" s="17" t="s">
        <v>410</v>
      </c>
      <c r="K28" s="55"/>
      <c r="L28" s="55"/>
      <c r="M28" s="55"/>
      <c r="N28" s="55"/>
      <c r="O28" s="55"/>
    </row>
    <row r="29" customFormat="false" ht="15" hidden="false" customHeight="false" outlineLevel="0" collapsed="false">
      <c r="B29" s="4" t="s">
        <v>411</v>
      </c>
      <c r="C29" s="17" t="s">
        <v>122</v>
      </c>
      <c r="K29" s="28"/>
      <c r="L29" s="28"/>
      <c r="M29" s="28"/>
      <c r="N29" s="28"/>
      <c r="O29" s="28"/>
    </row>
    <row r="30" customFormat="false" ht="15" hidden="false" customHeight="false" outlineLevel="0" collapsed="false">
      <c r="B30" s="4" t="s">
        <v>412</v>
      </c>
      <c r="C30" s="17" t="s">
        <v>88</v>
      </c>
      <c r="K30" s="22"/>
      <c r="L30" s="22"/>
      <c r="M30" s="22"/>
      <c r="N30" s="22"/>
      <c r="O30" s="22"/>
    </row>
    <row r="31" customFormat="false" ht="15" hidden="false" customHeight="false" outlineLevel="0" collapsed="false">
      <c r="B31" s="4" t="s">
        <v>413</v>
      </c>
      <c r="C31" s="17" t="s">
        <v>122</v>
      </c>
      <c r="K31" s="28"/>
      <c r="L31" s="28"/>
      <c r="M31" s="28"/>
      <c r="N31" s="28"/>
      <c r="O31" s="28"/>
      <c r="P31" s="20" t="s">
        <v>414</v>
      </c>
    </row>
    <row r="32" customFormat="false" ht="15" hidden="false" customHeight="false" outlineLevel="0" collapsed="false">
      <c r="B32" s="4" t="s">
        <v>415</v>
      </c>
      <c r="C32" s="17" t="s">
        <v>416</v>
      </c>
      <c r="K32" s="44" t="n">
        <v>1</v>
      </c>
      <c r="L32" s="44" t="n">
        <v>2</v>
      </c>
      <c r="M32" s="44" t="n">
        <v>3</v>
      </c>
      <c r="N32" s="44" t="n">
        <v>4</v>
      </c>
      <c r="O32" s="44" t="n">
        <v>5</v>
      </c>
    </row>
    <row r="33" customFormat="false" ht="15" hidden="false" customHeight="false" outlineLevel="0" collapsed="false">
      <c r="B33" s="4" t="s">
        <v>417</v>
      </c>
      <c r="C33" s="17" t="s">
        <v>85</v>
      </c>
      <c r="K33" s="19"/>
      <c r="L33" s="19"/>
      <c r="M33" s="19"/>
      <c r="N33" s="19"/>
      <c r="O33" s="19"/>
    </row>
    <row r="35" customFormat="false" ht="15" hidden="false" customHeight="false" outlineLevel="0" collapsed="false">
      <c r="B35" s="6" t="s">
        <v>418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B36" s="4" t="s">
        <v>178</v>
      </c>
      <c r="C36" s="17" t="s">
        <v>85</v>
      </c>
      <c r="D36" s="56" t="n">
        <f aca="false">Inputs!$D$57</f>
        <v>0.0524</v>
      </c>
      <c r="E36" s="17" t="s">
        <v>419</v>
      </c>
    </row>
    <row r="37" customFormat="false" ht="15" hidden="false" customHeight="false" outlineLevel="0" collapsed="false">
      <c r="B37" s="4" t="s">
        <v>180</v>
      </c>
      <c r="C37" s="17" t="s">
        <v>85</v>
      </c>
      <c r="D37" s="56" t="n">
        <f aca="false">Inputs!$D$58</f>
        <v>0.042</v>
      </c>
      <c r="E37" s="17" t="s">
        <v>420</v>
      </c>
    </row>
    <row r="38" customFormat="false" ht="15" hidden="false" customHeight="false" outlineLevel="0" collapsed="false">
      <c r="B38" s="4" t="s">
        <v>421</v>
      </c>
      <c r="C38" s="17" t="s">
        <v>122</v>
      </c>
      <c r="D38" s="51"/>
      <c r="E38" s="17" t="s">
        <v>422</v>
      </c>
    </row>
    <row r="39" customFormat="false" ht="15" hidden="false" customHeight="false" outlineLevel="0" collapsed="false">
      <c r="B39" s="4" t="s">
        <v>423</v>
      </c>
      <c r="C39" s="17" t="s">
        <v>122</v>
      </c>
      <c r="D39" s="19"/>
      <c r="E39" s="17" t="s">
        <v>424</v>
      </c>
    </row>
    <row r="40" customFormat="false" ht="15" hidden="false" customHeight="false" outlineLevel="0" collapsed="false">
      <c r="B40" s="4" t="s">
        <v>425</v>
      </c>
      <c r="C40" s="17" t="s">
        <v>122</v>
      </c>
      <c r="D40" s="51"/>
      <c r="E40" s="17" t="s">
        <v>426</v>
      </c>
    </row>
    <row r="41" customFormat="false" ht="15" hidden="false" customHeight="false" outlineLevel="0" collapsed="false">
      <c r="B41" s="4" t="s">
        <v>427</v>
      </c>
      <c r="C41" s="17" t="s">
        <v>85</v>
      </c>
      <c r="D41" s="26"/>
      <c r="E41" s="17" t="s">
        <v>428</v>
      </c>
    </row>
    <row r="42" customFormat="false" ht="15" hidden="false" customHeight="false" outlineLevel="0" collapsed="false">
      <c r="B42" s="4" t="s">
        <v>182</v>
      </c>
      <c r="C42" s="17" t="s">
        <v>85</v>
      </c>
      <c r="D42" s="56" t="n">
        <f aca="false">Inputs!$D$59</f>
        <v>0.05</v>
      </c>
      <c r="E42" s="17" t="s">
        <v>429</v>
      </c>
    </row>
    <row r="43" customFormat="false" ht="15" hidden="false" customHeight="false" outlineLevel="0" collapsed="false">
      <c r="B43" s="4" t="s">
        <v>430</v>
      </c>
      <c r="C43" s="17" t="s">
        <v>85</v>
      </c>
      <c r="D43" s="26"/>
    </row>
    <row r="44" customFormat="false" ht="15" hidden="false" customHeight="false" outlineLevel="0" collapsed="false">
      <c r="B44" s="4" t="s">
        <v>431</v>
      </c>
      <c r="C44" s="17" t="s">
        <v>88</v>
      </c>
      <c r="D44" s="22"/>
      <c r="E44" s="17" t="s">
        <v>432</v>
      </c>
    </row>
    <row r="45" customFormat="false" ht="15" hidden="false" customHeight="false" outlineLevel="0" collapsed="false">
      <c r="B45" s="4" t="s">
        <v>433</v>
      </c>
      <c r="C45" s="17" t="s">
        <v>88</v>
      </c>
      <c r="D45" s="24" t="n">
        <f aca="false">Inputs!$D$53</f>
        <v>13.961</v>
      </c>
      <c r="E45" s="17" t="s">
        <v>434</v>
      </c>
    </row>
    <row r="46" customFormat="false" ht="15" hidden="false" customHeight="false" outlineLevel="0" collapsed="false">
      <c r="B46" s="4" t="s">
        <v>435</v>
      </c>
      <c r="C46" s="17" t="s">
        <v>85</v>
      </c>
      <c r="D46" s="19"/>
    </row>
    <row r="47" customFormat="false" ht="15" hidden="false" customHeight="false" outlineLevel="0" collapsed="false">
      <c r="B47" s="3" t="s">
        <v>436</v>
      </c>
      <c r="C47" s="17" t="s">
        <v>85</v>
      </c>
      <c r="D47" s="26"/>
      <c r="E47" s="17" t="s">
        <v>437</v>
      </c>
    </row>
    <row r="49" customFormat="false" ht="15" hidden="false" customHeight="false" outlineLevel="0" collapsed="false">
      <c r="B49" s="6" t="s">
        <v>438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customFormat="false" ht="15" hidden="false" customHeight="false" outlineLevel="0" collapsed="false">
      <c r="B50" s="4" t="s">
        <v>439</v>
      </c>
      <c r="C50" s="17" t="s">
        <v>85</v>
      </c>
      <c r="D50" s="56" t="n">
        <f aca="false">Inputs!$D$61</f>
        <v>0</v>
      </c>
      <c r="E50" s="17" t="s">
        <v>429</v>
      </c>
    </row>
    <row r="51" customFormat="false" ht="15" hidden="false" customHeight="false" outlineLevel="0" collapsed="false">
      <c r="B51" s="4" t="s">
        <v>440</v>
      </c>
      <c r="C51" s="17" t="s">
        <v>122</v>
      </c>
      <c r="D51" s="57" t="n">
        <f aca="false">Inputs!$D$62</f>
        <v>0</v>
      </c>
      <c r="E51" s="17" t="s">
        <v>429</v>
      </c>
    </row>
    <row r="52" customFormat="false" ht="15" hidden="false" customHeight="false" outlineLevel="0" collapsed="false">
      <c r="B52" s="4" t="s">
        <v>441</v>
      </c>
      <c r="C52" s="17" t="s">
        <v>88</v>
      </c>
      <c r="D52" s="22"/>
    </row>
    <row r="53" customFormat="false" ht="15" hidden="false" customHeight="false" outlineLevel="0" collapsed="false">
      <c r="B53" s="4" t="s">
        <v>442</v>
      </c>
      <c r="C53" s="17" t="s">
        <v>88</v>
      </c>
      <c r="D53" s="22"/>
    </row>
    <row r="54" customFormat="false" ht="15" hidden="false" customHeight="false" outlineLevel="0" collapsed="false">
      <c r="B54" s="4" t="s">
        <v>443</v>
      </c>
      <c r="C54" s="17" t="s">
        <v>410</v>
      </c>
      <c r="D54" s="55"/>
    </row>
    <row r="55" customFormat="false" ht="15" hidden="false" customHeight="false" outlineLevel="0" collapsed="false">
      <c r="B55" s="4" t="s">
        <v>444</v>
      </c>
      <c r="C55" s="17" t="s">
        <v>88</v>
      </c>
      <c r="D55" s="22"/>
    </row>
    <row r="56" customFormat="false" ht="15" hidden="false" customHeight="false" outlineLevel="0" collapsed="false">
      <c r="B56" s="4" t="s">
        <v>445</v>
      </c>
      <c r="C56" s="17" t="s">
        <v>88</v>
      </c>
      <c r="D56" s="22"/>
    </row>
    <row r="57" customFormat="false" ht="15" hidden="false" customHeight="false" outlineLevel="0" collapsed="false">
      <c r="B57" s="4" t="s">
        <v>446</v>
      </c>
      <c r="C57" s="17" t="s">
        <v>88</v>
      </c>
      <c r="D57" s="22"/>
    </row>
    <row r="58" customFormat="false" ht="15" hidden="false" customHeight="false" outlineLevel="0" collapsed="false">
      <c r="B58" s="4" t="s">
        <v>447</v>
      </c>
      <c r="C58" s="17" t="s">
        <v>88</v>
      </c>
      <c r="D58" s="22"/>
    </row>
    <row r="59" customFormat="false" ht="15" hidden="false" customHeight="false" outlineLevel="0" collapsed="false">
      <c r="B59" s="4" t="s">
        <v>448</v>
      </c>
      <c r="C59" s="17" t="s">
        <v>88</v>
      </c>
      <c r="D59" s="22"/>
    </row>
    <row r="60" customFormat="false" ht="15" hidden="false" customHeight="false" outlineLevel="0" collapsed="false">
      <c r="B60" s="3" t="s">
        <v>449</v>
      </c>
      <c r="C60" s="17" t="s">
        <v>88</v>
      </c>
      <c r="D60" s="22"/>
    </row>
    <row r="61" customFormat="false" ht="15" hidden="false" customHeight="false" outlineLevel="0" collapsed="false">
      <c r="B61" s="3" t="s">
        <v>450</v>
      </c>
      <c r="C61" s="17" t="s">
        <v>88</v>
      </c>
      <c r="D61" s="22"/>
    </row>
    <row r="62" customFormat="false" ht="15" hidden="false" customHeight="false" outlineLevel="0" collapsed="false">
      <c r="B62" s="4" t="s">
        <v>451</v>
      </c>
      <c r="C62" s="17" t="s">
        <v>85</v>
      </c>
      <c r="D62" s="19"/>
    </row>
    <row r="63" customFormat="false" ht="15" hidden="false" customHeight="false" outlineLevel="0" collapsed="false">
      <c r="B63" s="4" t="s">
        <v>452</v>
      </c>
      <c r="C63" s="17" t="s">
        <v>85</v>
      </c>
      <c r="D63" s="19"/>
    </row>
    <row r="64" customFormat="false" ht="15" hidden="false" customHeight="false" outlineLevel="0" collapsed="false">
      <c r="B64" s="4" t="s">
        <v>453</v>
      </c>
      <c r="C64" s="17" t="s">
        <v>122</v>
      </c>
      <c r="D64" s="38"/>
      <c r="E64" s="17" t="s">
        <v>454</v>
      </c>
    </row>
    <row r="65" customFormat="false" ht="15" hidden="false" customHeight="false" outlineLevel="0" collapsed="false">
      <c r="B65" s="4" t="s">
        <v>455</v>
      </c>
      <c r="C65" s="17" t="s">
        <v>85</v>
      </c>
      <c r="D65" s="26"/>
      <c r="E65" s="17" t="s">
        <v>456</v>
      </c>
    </row>
    <row r="67" customFormat="false" ht="15" hidden="false" customHeight="false" outlineLevel="0" collapsed="false">
      <c r="B67" s="6" t="s">
        <v>457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customFormat="false" ht="15" hidden="false" customHeight="false" outlineLevel="0" collapsed="false">
      <c r="B68" s="4" t="s">
        <v>458</v>
      </c>
      <c r="C68" s="17" t="s">
        <v>407</v>
      </c>
      <c r="D68" s="58" t="n">
        <v>46203</v>
      </c>
      <c r="E68" s="17" t="s">
        <v>459</v>
      </c>
    </row>
    <row r="69" customFormat="false" ht="15" hidden="false" customHeight="false" outlineLevel="0" collapsed="false">
      <c r="B69" s="4" t="s">
        <v>460</v>
      </c>
      <c r="C69" s="17" t="s">
        <v>88</v>
      </c>
      <c r="D69" s="24" t="n">
        <f aca="false">Inputs!$D$52</f>
        <v>464.189</v>
      </c>
    </row>
    <row r="70" customFormat="false" ht="15" hidden="false" customHeight="false" outlineLevel="0" collapsed="false">
      <c r="B70" s="4" t="s">
        <v>461</v>
      </c>
      <c r="C70" s="17" t="s">
        <v>88</v>
      </c>
      <c r="D70" s="24" t="n">
        <f aca="false">Inputs!$D$53</f>
        <v>13.961</v>
      </c>
    </row>
    <row r="71" customFormat="false" ht="15" hidden="false" customHeight="false" outlineLevel="0" collapsed="false">
      <c r="B71" s="4" t="s">
        <v>462</v>
      </c>
      <c r="C71" s="17" t="s">
        <v>88</v>
      </c>
      <c r="D71" s="24" t="n">
        <f aca="false">Inputs!$D$54</f>
        <v>0</v>
      </c>
      <c r="E71" s="17" t="s">
        <v>463</v>
      </c>
    </row>
    <row r="72" customFormat="false" ht="15" hidden="false" customHeight="false" outlineLevel="0" collapsed="false">
      <c r="B72" s="4" t="s">
        <v>464</v>
      </c>
      <c r="C72" s="17" t="s">
        <v>122</v>
      </c>
      <c r="D72" s="23" t="n">
        <f aca="false">1-Inputs!$D$55</f>
        <v>1</v>
      </c>
      <c r="E72" s="17" t="s">
        <v>465</v>
      </c>
    </row>
    <row r="73" customFormat="false" ht="15" hidden="false" customHeight="false" outlineLevel="0" collapsed="false">
      <c r="B73" s="4" t="s">
        <v>466</v>
      </c>
      <c r="C73" s="17" t="s">
        <v>138</v>
      </c>
      <c r="D73" s="45" t="n">
        <f aca="false">Inputs!$D$50+Inputs!$D$51</f>
        <v>41.283275</v>
      </c>
      <c r="E73" s="17" t="s">
        <v>467</v>
      </c>
    </row>
    <row r="74" customFormat="false" ht="15" hidden="false" customHeight="false" outlineLevel="0" collapsed="false">
      <c r="B74" s="4" t="s">
        <v>468</v>
      </c>
      <c r="C74" s="17" t="s">
        <v>88</v>
      </c>
      <c r="D74" s="22"/>
    </row>
    <row r="75" customFormat="false" ht="15" hidden="false" customHeight="false" outlineLevel="0" collapsed="false">
      <c r="B75" s="4" t="s">
        <v>469</v>
      </c>
      <c r="C75" s="17" t="s">
        <v>88</v>
      </c>
      <c r="D75" s="22"/>
    </row>
    <row r="76" customFormat="false" ht="15" hidden="false" customHeight="false" outlineLevel="0" collapsed="false">
      <c r="B76" s="4" t="s">
        <v>470</v>
      </c>
      <c r="C76" s="17" t="s">
        <v>135</v>
      </c>
      <c r="D76" s="30"/>
    </row>
    <row r="77" customFormat="false" ht="15" hidden="false" customHeight="false" outlineLevel="0" collapsed="false">
      <c r="B77" s="4" t="s">
        <v>471</v>
      </c>
      <c r="C77" s="17" t="s">
        <v>135</v>
      </c>
      <c r="D77" s="30"/>
    </row>
    <row r="78" customFormat="false" ht="15" hidden="false" customHeight="false" outlineLevel="0" collapsed="false">
      <c r="B78" s="4" t="s">
        <v>472</v>
      </c>
      <c r="C78" s="17" t="s">
        <v>407</v>
      </c>
      <c r="D78" s="58" t="n">
        <v>46304</v>
      </c>
      <c r="E78" s="17" t="s">
        <v>473</v>
      </c>
    </row>
    <row r="79" customFormat="false" ht="15" hidden="false" customHeight="false" outlineLevel="0" collapsed="false">
      <c r="B79" s="4" t="s">
        <v>474</v>
      </c>
      <c r="C79" s="17" t="s">
        <v>122</v>
      </c>
      <c r="D79" s="28"/>
      <c r="E79" s="17" t="s">
        <v>475</v>
      </c>
    </row>
    <row r="80" customFormat="false" ht="15" hidden="false" customHeight="false" outlineLevel="0" collapsed="false">
      <c r="B80" s="4" t="s">
        <v>476</v>
      </c>
      <c r="C80" s="17" t="s">
        <v>135</v>
      </c>
      <c r="D80" s="29" t="n">
        <f aca="false">Inputs!$D$56</f>
        <v>3.3</v>
      </c>
      <c r="E80" s="17" t="s">
        <v>429</v>
      </c>
    </row>
    <row r="81" customFormat="false" ht="15" hidden="false" customHeight="false" outlineLevel="0" collapsed="false">
      <c r="B81" s="3" t="s">
        <v>477</v>
      </c>
      <c r="C81" s="17" t="s">
        <v>135</v>
      </c>
      <c r="D81" s="30"/>
    </row>
    <row r="82" customFormat="false" ht="15" hidden="false" customHeight="false" outlineLevel="0" collapsed="false">
      <c r="B82" s="3" t="s">
        <v>478</v>
      </c>
      <c r="C82" s="17" t="s">
        <v>135</v>
      </c>
      <c r="D82" s="30"/>
    </row>
    <row r="83" customFormat="false" ht="15" hidden="false" customHeight="false" outlineLevel="0" collapsed="false">
      <c r="B83" s="3" t="s">
        <v>479</v>
      </c>
      <c r="C83" s="17" t="s">
        <v>135</v>
      </c>
      <c r="D83" s="30"/>
      <c r="E83" s="17" t="s">
        <v>480</v>
      </c>
    </row>
    <row r="84" customFormat="false" ht="15" hidden="false" customHeight="false" outlineLevel="0" collapsed="false">
      <c r="B84" s="4" t="s">
        <v>481</v>
      </c>
      <c r="C84" s="17" t="s">
        <v>135</v>
      </c>
      <c r="D84" s="29" t="n">
        <f aca="false">Inputs!$D$47</f>
        <v>279.9</v>
      </c>
    </row>
    <row r="85" customFormat="false" ht="15" hidden="false" customHeight="false" outlineLevel="0" collapsed="false">
      <c r="B85" s="4" t="s">
        <v>482</v>
      </c>
      <c r="C85" s="17" t="s">
        <v>85</v>
      </c>
      <c r="D85" s="19"/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8" min="6" style="0" width="10"/>
    <col collapsed="false" customWidth="true" hidden="false" outlineLevel="0" max="10" min="9" style="0" width="9"/>
    <col collapsed="false" customWidth="true" hidden="false" outlineLevel="0" max="11" min="11" style="0" width="11"/>
    <col collapsed="false" customWidth="true" hidden="false" outlineLevel="0" max="14" min="12" style="0" width="10"/>
    <col collapsed="false" customWidth="true" hidden="false" outlineLevel="0" max="19" min="15" style="0" width="9"/>
    <col collapsed="false" customWidth="true" hidden="false" outlineLevel="0" max="23" min="20" style="0" width="8"/>
    <col collapsed="false" customWidth="true" hidden="false" outlineLevel="0" max="24" min="24" style="0" width="60"/>
  </cols>
  <sheetData>
    <row r="1" customFormat="false" ht="17.35" hidden="false" customHeight="false" outlineLevel="0" collapsed="false">
      <c r="B1" s="9" t="s">
        <v>483</v>
      </c>
    </row>
    <row r="2" customFormat="false" ht="15" hidden="false" customHeight="false" outlineLevel="0" collapsed="false">
      <c r="B2" s="10" t="s">
        <v>484</v>
      </c>
    </row>
    <row r="4" customFormat="false" ht="42" hidden="false" customHeight="true" outlineLevel="0" collapsed="false">
      <c r="B4" s="59" t="s">
        <v>485</v>
      </c>
      <c r="C4" s="59" t="s">
        <v>486</v>
      </c>
      <c r="D4" s="59" t="s">
        <v>487</v>
      </c>
      <c r="E4" s="59" t="s">
        <v>488</v>
      </c>
      <c r="F4" s="59" t="s">
        <v>489</v>
      </c>
      <c r="G4" s="59" t="s">
        <v>490</v>
      </c>
      <c r="H4" s="59" t="s">
        <v>491</v>
      </c>
      <c r="I4" s="59" t="s">
        <v>350</v>
      </c>
      <c r="J4" s="59" t="s">
        <v>492</v>
      </c>
      <c r="K4" s="59" t="s">
        <v>493</v>
      </c>
      <c r="L4" s="59" t="s">
        <v>494</v>
      </c>
      <c r="M4" s="59" t="s">
        <v>495</v>
      </c>
      <c r="N4" s="59" t="s">
        <v>496</v>
      </c>
      <c r="O4" s="59" t="s">
        <v>497</v>
      </c>
      <c r="P4" s="59" t="s">
        <v>498</v>
      </c>
      <c r="Q4" s="59" t="s">
        <v>499</v>
      </c>
      <c r="R4" s="59" t="s">
        <v>500</v>
      </c>
      <c r="S4" s="59" t="s">
        <v>501</v>
      </c>
      <c r="T4" s="59" t="s">
        <v>502</v>
      </c>
      <c r="U4" s="59" t="s">
        <v>503</v>
      </c>
      <c r="V4" s="59" t="s">
        <v>504</v>
      </c>
      <c r="W4" s="59" t="s">
        <v>505</v>
      </c>
      <c r="X4" s="59" t="s">
        <v>506</v>
      </c>
    </row>
    <row r="5" customFormat="false" ht="15" hidden="false" customHeight="false" outlineLevel="0" collapsed="false">
      <c r="B5" s="4" t="s">
        <v>507</v>
      </c>
      <c r="C5" s="4" t="s">
        <v>508</v>
      </c>
      <c r="D5" s="58" t="n">
        <v>46203</v>
      </c>
      <c r="E5" s="34" t="n">
        <v>220.04</v>
      </c>
      <c r="F5" s="21" t="n">
        <v>193.452717</v>
      </c>
      <c r="G5" s="22"/>
      <c r="H5" s="21" t="n">
        <v>4904</v>
      </c>
      <c r="I5" s="21" t="n">
        <v>437</v>
      </c>
      <c r="J5" s="21" t="n">
        <v>0</v>
      </c>
      <c r="K5" s="22"/>
      <c r="L5" s="45" t="n">
        <f aca="false">G24</f>
        <v>31697.4545454545</v>
      </c>
      <c r="M5" s="45" t="n">
        <f aca="false">G25+G26</f>
        <v>3225.81818181818</v>
      </c>
      <c r="N5" s="45" t="n">
        <f aca="false">G27</f>
        <v>2035.63636363636</v>
      </c>
      <c r="O5" s="48" t="n">
        <f aca="false">G28</f>
        <v>10.44</v>
      </c>
      <c r="P5" s="38"/>
      <c r="Q5" s="38"/>
      <c r="R5" s="38"/>
      <c r="S5" s="19"/>
      <c r="T5" s="60" t="n">
        <v>0.982</v>
      </c>
      <c r="U5" s="60" t="n">
        <v>0.988</v>
      </c>
      <c r="V5" s="19"/>
      <c r="W5" s="51"/>
      <c r="X5" s="17" t="s">
        <v>509</v>
      </c>
    </row>
    <row r="6" customFormat="false" ht="15" hidden="false" customHeight="false" outlineLevel="0" collapsed="false">
      <c r="B6" s="4" t="s">
        <v>510</v>
      </c>
      <c r="C6" s="4" t="s">
        <v>511</v>
      </c>
      <c r="D6" s="58" t="n">
        <v>46203</v>
      </c>
      <c r="E6" s="34" t="n">
        <v>159.54</v>
      </c>
      <c r="F6" s="21" t="n">
        <v>36.340747</v>
      </c>
      <c r="G6" s="22"/>
      <c r="H6" s="21" t="n">
        <v>1340.716</v>
      </c>
      <c r="I6" s="21" t="n">
        <v>28.762</v>
      </c>
      <c r="J6" s="21" t="n">
        <v>0</v>
      </c>
      <c r="K6" s="22"/>
      <c r="L6" s="45" t="n">
        <f aca="false">G31</f>
        <v>5394.292</v>
      </c>
      <c r="M6" s="45" t="n">
        <f aca="false">G32+G33</f>
        <v>634.046</v>
      </c>
      <c r="N6" s="45" t="n">
        <f aca="false">G34</f>
        <v>399.92</v>
      </c>
      <c r="O6" s="48" t="n">
        <f aca="false">G35</f>
        <v>10.89</v>
      </c>
      <c r="P6" s="38"/>
      <c r="Q6" s="38"/>
      <c r="R6" s="38"/>
      <c r="S6" s="19"/>
      <c r="T6" s="60" t="n">
        <v>0.664</v>
      </c>
      <c r="U6" s="60" t="n">
        <v>0.775</v>
      </c>
      <c r="V6" s="19"/>
      <c r="W6" s="51"/>
      <c r="X6" s="17" t="s">
        <v>512</v>
      </c>
    </row>
    <row r="7" customFormat="false" ht="15" hidden="false" customHeight="false" outlineLevel="0" collapsed="false">
      <c r="B7" s="4" t="s">
        <v>513</v>
      </c>
      <c r="C7" s="4" t="s">
        <v>514</v>
      </c>
      <c r="D7" s="58" t="n">
        <v>46201</v>
      </c>
      <c r="E7" s="34" t="n">
        <v>87.16</v>
      </c>
      <c r="F7" s="21" t="n">
        <v>43.65539</v>
      </c>
      <c r="G7" s="22"/>
      <c r="H7" s="21" t="n">
        <v>643</v>
      </c>
      <c r="I7" s="21" t="n">
        <v>87.4</v>
      </c>
      <c r="J7" s="21" t="n">
        <v>0</v>
      </c>
      <c r="K7" s="22"/>
      <c r="L7" s="45" t="n">
        <f aca="false">G38</f>
        <v>4774.6</v>
      </c>
      <c r="M7" s="45" t="n">
        <f aca="false">G39+G40</f>
        <v>388.8</v>
      </c>
      <c r="N7" s="45" t="n">
        <f aca="false">G41</f>
        <v>162.8</v>
      </c>
      <c r="O7" s="48" t="n">
        <f aca="false">G42</f>
        <v>3.65</v>
      </c>
      <c r="P7" s="38"/>
      <c r="Q7" s="38"/>
      <c r="R7" s="38"/>
      <c r="S7" s="19"/>
      <c r="T7" s="60" t="n">
        <v>1.075</v>
      </c>
      <c r="U7" s="60" t="n">
        <v>1.05</v>
      </c>
      <c r="V7" s="19"/>
      <c r="W7" s="51"/>
      <c r="X7" s="17" t="s">
        <v>515</v>
      </c>
    </row>
    <row r="8" customFormat="false" ht="15" hidden="false" customHeight="false" outlineLevel="0" collapsed="false">
      <c r="B8" s="4" t="s">
        <v>516</v>
      </c>
      <c r="C8" s="4" t="s">
        <v>517</v>
      </c>
      <c r="D8" s="58" t="n">
        <v>46236</v>
      </c>
      <c r="E8" s="34" t="n">
        <v>40.35</v>
      </c>
      <c r="F8" s="21" t="n">
        <v>190.49405</v>
      </c>
      <c r="G8" s="22"/>
      <c r="H8" s="21" t="n">
        <v>2449</v>
      </c>
      <c r="I8" s="21" t="n">
        <v>312</v>
      </c>
      <c r="J8" s="21" t="n">
        <v>0</v>
      </c>
      <c r="K8" s="22"/>
      <c r="L8" s="45" t="n">
        <f aca="false">G45</f>
        <v>7698</v>
      </c>
      <c r="M8" s="45" t="n">
        <f aca="false">G46+G47</f>
        <v>935</v>
      </c>
      <c r="N8" s="45" t="n">
        <f aca="false">G48</f>
        <v>459</v>
      </c>
      <c r="O8" s="48" t="n">
        <f aca="false">G49</f>
        <v>2.43</v>
      </c>
      <c r="P8" s="38"/>
      <c r="Q8" s="38"/>
      <c r="R8" s="38"/>
      <c r="S8" s="19"/>
      <c r="T8" s="60" t="n">
        <v>0.911</v>
      </c>
      <c r="U8" s="60" t="n">
        <v>0.94</v>
      </c>
      <c r="V8" s="19"/>
      <c r="W8" s="51"/>
      <c r="X8" s="17" t="s">
        <v>518</v>
      </c>
    </row>
    <row r="9" customFormat="false" ht="15" hidden="false" customHeight="false" outlineLevel="0" collapsed="false">
      <c r="B9" s="4" t="s">
        <v>519</v>
      </c>
      <c r="C9" s="4" t="s">
        <v>520</v>
      </c>
      <c r="D9" s="58" t="n">
        <v>46203</v>
      </c>
      <c r="E9" s="34" t="n">
        <v>1289.79</v>
      </c>
      <c r="F9" s="21" t="n">
        <v>47.100942</v>
      </c>
      <c r="G9" s="22"/>
      <c r="H9" s="21" t="n">
        <v>2408</v>
      </c>
      <c r="I9" s="21" t="n">
        <v>589</v>
      </c>
      <c r="J9" s="21" t="n">
        <v>382</v>
      </c>
      <c r="K9" s="22"/>
      <c r="L9" s="45" t="n">
        <f aca="false">G52</f>
        <v>18845</v>
      </c>
      <c r="M9" s="45" t="n">
        <f aca="false">G53+G54</f>
        <v>3077</v>
      </c>
      <c r="N9" s="45" t="n">
        <f aca="false">G55</f>
        <v>1870</v>
      </c>
      <c r="O9" s="48" t="n">
        <f aca="false">G56</f>
        <v>39.23</v>
      </c>
      <c r="P9" s="38"/>
      <c r="Q9" s="38"/>
      <c r="R9" s="38"/>
      <c r="S9" s="19"/>
      <c r="T9" s="60" t="n">
        <v>0.681</v>
      </c>
      <c r="U9" s="60" t="n">
        <v>0.786</v>
      </c>
      <c r="V9" s="19"/>
      <c r="W9" s="51"/>
      <c r="X9" s="17" t="s">
        <v>521</v>
      </c>
    </row>
    <row r="10" customFormat="false" ht="15" hidden="false" customHeight="false" outlineLevel="0" collapsed="false">
      <c r="B10" s="61"/>
      <c r="C10" s="62" t="s">
        <v>522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3"/>
      <c r="Q10" s="63"/>
      <c r="R10" s="63"/>
      <c r="S10" s="64"/>
      <c r="T10" s="61"/>
      <c r="U10" s="65"/>
      <c r="V10" s="61"/>
      <c r="W10" s="65"/>
    </row>
    <row r="11" customFormat="false" ht="15" hidden="false" customHeight="false" outlineLevel="0" collapsed="false">
      <c r="B11" s="61"/>
      <c r="C11" s="62" t="s">
        <v>523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3"/>
      <c r="Q11" s="63"/>
      <c r="R11" s="63"/>
      <c r="S11" s="64"/>
      <c r="T11" s="61"/>
      <c r="U11" s="65"/>
      <c r="V11" s="61"/>
      <c r="W11" s="65"/>
    </row>
    <row r="12" customFormat="false" ht="15" hidden="false" customHeight="false" outlineLevel="0" collapsed="false">
      <c r="B12" s="61"/>
      <c r="C12" s="62" t="s">
        <v>524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3"/>
      <c r="Q12" s="63"/>
      <c r="R12" s="63"/>
      <c r="S12" s="64"/>
      <c r="T12" s="61"/>
      <c r="U12" s="65"/>
      <c r="V12" s="61"/>
      <c r="W12" s="65"/>
    </row>
    <row r="13" customFormat="false" ht="15" hidden="false" customHeight="false" outlineLevel="0" collapsed="false">
      <c r="B13" s="61"/>
      <c r="C13" s="62" t="s">
        <v>525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3"/>
      <c r="Q13" s="63"/>
      <c r="R13" s="63"/>
      <c r="S13" s="64"/>
      <c r="T13" s="61"/>
      <c r="U13" s="65"/>
      <c r="V13" s="61"/>
      <c r="W13" s="65"/>
    </row>
    <row r="14" customFormat="false" ht="15" hidden="false" customHeight="false" outlineLevel="0" collapsed="false">
      <c r="B14" s="61"/>
      <c r="C14" s="62" t="s">
        <v>526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3"/>
      <c r="Q14" s="63"/>
      <c r="R14" s="63"/>
      <c r="S14" s="64"/>
      <c r="T14" s="61"/>
      <c r="U14" s="65"/>
      <c r="V14" s="61"/>
      <c r="W14" s="65"/>
    </row>
    <row r="15" customFormat="false" ht="15" hidden="false" customHeight="false" outlineLevel="0" collapsed="false">
      <c r="B15" s="61"/>
      <c r="C15" s="62" t="s">
        <v>527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3"/>
      <c r="Q15" s="63"/>
      <c r="R15" s="63"/>
      <c r="S15" s="64"/>
      <c r="T15" s="61"/>
      <c r="U15" s="65"/>
      <c r="V15" s="61"/>
      <c r="W15" s="65"/>
    </row>
    <row r="17" customFormat="false" ht="15" hidden="false" customHeight="false" outlineLevel="0" collapsed="false">
      <c r="B17" s="3" t="s">
        <v>528</v>
      </c>
      <c r="C17" s="3" t="s">
        <v>529</v>
      </c>
      <c r="D17" s="58" t="n">
        <v>46203</v>
      </c>
      <c r="E17" s="29" t="n">
        <f aca="false">Inputs!$D$47</f>
        <v>279.9</v>
      </c>
      <c r="F17" s="24" t="n">
        <f aca="false">DCF!$D$73</f>
        <v>41.283275</v>
      </c>
      <c r="G17" s="22"/>
      <c r="H17" s="24" t="n">
        <f aca="false">Inputs!$D$53</f>
        <v>13.961</v>
      </c>
      <c r="I17" s="24" t="n">
        <f aca="false">Inputs!$D$52</f>
        <v>464.189</v>
      </c>
      <c r="J17" s="22"/>
      <c r="K17" s="22"/>
      <c r="L17" s="24" t="n">
        <f aca="false">IS!J8</f>
        <v>7283.631</v>
      </c>
      <c r="M17" s="24" t="n">
        <f aca="false">IS!J33</f>
        <v>728.853999999999</v>
      </c>
      <c r="N17" s="24" t="n">
        <f aca="false">IS!J22</f>
        <v>475.729999999999</v>
      </c>
      <c r="O17" s="29" t="n">
        <f aca="false">IS!J28</f>
        <v>11.6692320060084</v>
      </c>
      <c r="P17" s="38"/>
      <c r="Q17" s="38"/>
      <c r="R17" s="38"/>
      <c r="S17" s="19"/>
      <c r="T17" s="60" t="n">
        <v>0.897</v>
      </c>
      <c r="U17" s="60" t="n">
        <v>0.931</v>
      </c>
      <c r="X17" s="17" t="s">
        <v>530</v>
      </c>
    </row>
    <row r="19" customFormat="false" ht="15" hidden="false" customHeight="false" outlineLevel="0" collapsed="false">
      <c r="B19" s="17" t="s">
        <v>531</v>
      </c>
    </row>
    <row r="20" customFormat="false" ht="15" hidden="false" customHeight="false" outlineLevel="0" collapsed="false">
      <c r="B20" s="17" t="s">
        <v>532</v>
      </c>
    </row>
    <row r="21" customFormat="false" ht="15" hidden="false" customHeight="false" outlineLevel="0" collapsed="false">
      <c r="B21" s="6" t="s">
        <v>533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customFormat="false" ht="15" hidden="false" customHeight="false" outlineLevel="0" collapsed="false">
      <c r="B22" s="11" t="s">
        <v>485</v>
      </c>
      <c r="C22" s="11" t="s">
        <v>534</v>
      </c>
      <c r="D22" s="11" t="s">
        <v>535</v>
      </c>
      <c r="E22" s="11" t="s">
        <v>536</v>
      </c>
      <c r="F22" s="11" t="s">
        <v>537</v>
      </c>
      <c r="G22" s="11" t="s">
        <v>538</v>
      </c>
      <c r="H22" s="11" t="s">
        <v>49</v>
      </c>
    </row>
    <row r="23" customFormat="false" ht="15" hidden="false" customHeight="false" outlineLevel="0" collapsed="false">
      <c r="B23" s="3" t="s">
        <v>507</v>
      </c>
    </row>
    <row r="24" customFormat="false" ht="15" hidden="false" customHeight="false" outlineLevel="0" collapsed="false">
      <c r="C24" s="17" t="s">
        <v>539</v>
      </c>
      <c r="D24" s="21" t="n">
        <v>12833</v>
      </c>
      <c r="E24" s="21" t="n">
        <v>16223</v>
      </c>
      <c r="G24" s="45" t="n">
        <f aca="false">(D24+E24)*12/11</f>
        <v>31697.4545454545</v>
      </c>
      <c r="H24" s="17" t="s">
        <v>540</v>
      </c>
    </row>
    <row r="25" customFormat="false" ht="15" hidden="false" customHeight="false" outlineLevel="0" collapsed="false">
      <c r="C25" s="17" t="s">
        <v>541</v>
      </c>
      <c r="D25" s="21" t="n">
        <v>1099</v>
      </c>
      <c r="E25" s="21" t="n">
        <v>1505</v>
      </c>
      <c r="G25" s="45" t="n">
        <f aca="false">(D25+E25)*12/11</f>
        <v>2840.72727272727</v>
      </c>
      <c r="H25" s="17" t="s">
        <v>540</v>
      </c>
    </row>
    <row r="26" customFormat="false" ht="15" hidden="false" customHeight="false" outlineLevel="0" collapsed="false">
      <c r="C26" s="17" t="s">
        <v>542</v>
      </c>
      <c r="D26" s="21" t="n">
        <v>157</v>
      </c>
      <c r="E26" s="21" t="n">
        <v>196</v>
      </c>
      <c r="G26" s="45" t="n">
        <f aca="false">(D26+E26)*12/11</f>
        <v>385.090909090909</v>
      </c>
      <c r="H26" s="17" t="s">
        <v>540</v>
      </c>
    </row>
    <row r="27" customFormat="false" ht="15" hidden="false" customHeight="false" outlineLevel="0" collapsed="false">
      <c r="C27" s="17" t="s">
        <v>543</v>
      </c>
      <c r="D27" s="21" t="n">
        <v>786</v>
      </c>
      <c r="E27" s="21" t="n">
        <v>1080</v>
      </c>
      <c r="G27" s="45" t="n">
        <f aca="false">(D27+E27)*12/11</f>
        <v>2035.63636363636</v>
      </c>
      <c r="H27" s="17" t="s">
        <v>540</v>
      </c>
    </row>
    <row r="28" customFormat="false" ht="15" hidden="false" customHeight="false" outlineLevel="0" collapsed="false">
      <c r="C28" s="17" t="s">
        <v>544</v>
      </c>
      <c r="D28" s="34" t="n">
        <v>4.01</v>
      </c>
      <c r="E28" s="34" t="n">
        <v>5.56</v>
      </c>
      <c r="G28" s="48" t="n">
        <f aca="false">(D28+E28)*12/11</f>
        <v>10.44</v>
      </c>
      <c r="H28" s="17" t="s">
        <v>540</v>
      </c>
    </row>
    <row r="30" customFormat="false" ht="15" hidden="false" customHeight="false" outlineLevel="0" collapsed="false">
      <c r="B30" s="3" t="s">
        <v>510</v>
      </c>
    </row>
    <row r="31" customFormat="false" ht="15" hidden="false" customHeight="false" outlineLevel="0" collapsed="false">
      <c r="C31" s="17" t="s">
        <v>539</v>
      </c>
      <c r="D31" s="21" t="n">
        <v>5289.396</v>
      </c>
      <c r="E31" s="21" t="n">
        <v>2960.952</v>
      </c>
      <c r="F31" s="21" t="n">
        <v>2856.056</v>
      </c>
      <c r="G31" s="45" t="n">
        <f aca="false">D31+E31-F31</f>
        <v>5394.292</v>
      </c>
      <c r="H31" s="17" t="s">
        <v>545</v>
      </c>
    </row>
    <row r="32" customFormat="false" ht="15" hidden="false" customHeight="false" outlineLevel="0" collapsed="false">
      <c r="C32" s="17" t="s">
        <v>541</v>
      </c>
      <c r="D32" s="21" t="n">
        <v>580.204</v>
      </c>
      <c r="E32" s="21" t="n">
        <v>350.29</v>
      </c>
      <c r="F32" s="21" t="n">
        <v>350.207</v>
      </c>
      <c r="G32" s="45" t="n">
        <f aca="false">D32+E32-F32</f>
        <v>580.287</v>
      </c>
      <c r="H32" s="17" t="s">
        <v>545</v>
      </c>
    </row>
    <row r="33" customFormat="false" ht="15" hidden="false" customHeight="false" outlineLevel="0" collapsed="false">
      <c r="C33" s="17" t="s">
        <v>546</v>
      </c>
      <c r="D33" s="21" t="n">
        <v>50.678</v>
      </c>
      <c r="E33" s="21" t="n">
        <v>27.197</v>
      </c>
      <c r="F33" s="21" t="n">
        <v>24.116</v>
      </c>
      <c r="G33" s="45" t="n">
        <f aca="false">D33+E33-F33</f>
        <v>53.759</v>
      </c>
      <c r="H33" s="17" t="s">
        <v>545</v>
      </c>
    </row>
    <row r="34" customFormat="false" ht="15" hidden="false" customHeight="false" outlineLevel="0" collapsed="false">
      <c r="C34" s="17" t="s">
        <v>543</v>
      </c>
      <c r="D34" s="21" t="n">
        <v>406.404</v>
      </c>
      <c r="E34" s="21" t="n">
        <v>241.319</v>
      </c>
      <c r="F34" s="21" t="n">
        <v>247.803</v>
      </c>
      <c r="G34" s="45" t="n">
        <f aca="false">D34+E34-F34</f>
        <v>399.92</v>
      </c>
      <c r="H34" s="17" t="s">
        <v>545</v>
      </c>
    </row>
    <row r="35" customFormat="false" ht="15" hidden="false" customHeight="false" outlineLevel="0" collapsed="false">
      <c r="C35" s="17" t="s">
        <v>544</v>
      </c>
      <c r="D35" s="34" t="n">
        <v>10.85</v>
      </c>
      <c r="E35" s="34" t="n">
        <v>6.61</v>
      </c>
      <c r="F35" s="34" t="n">
        <v>6.57</v>
      </c>
      <c r="G35" s="48" t="n">
        <f aca="false">D35+E35-F35</f>
        <v>10.89</v>
      </c>
      <c r="H35" s="17" t="s">
        <v>545</v>
      </c>
    </row>
    <row r="37" customFormat="false" ht="15" hidden="false" customHeight="false" outlineLevel="0" collapsed="false">
      <c r="B37" s="3" t="s">
        <v>513</v>
      </c>
    </row>
    <row r="38" customFormat="false" ht="15" hidden="false" customHeight="false" outlineLevel="0" collapsed="false">
      <c r="C38" s="17" t="s">
        <v>547</v>
      </c>
      <c r="D38" s="21" t="n">
        <v>4704.8</v>
      </c>
      <c r="E38" s="21" t="n">
        <v>2470.8</v>
      </c>
      <c r="F38" s="21" t="n">
        <v>2401</v>
      </c>
      <c r="G38" s="45" t="n">
        <f aca="false">D38+E38-F38</f>
        <v>4774.6</v>
      </c>
      <c r="H38" s="17" t="s">
        <v>548</v>
      </c>
    </row>
    <row r="39" customFormat="false" ht="15" hidden="false" customHeight="false" outlineLevel="0" collapsed="false">
      <c r="C39" s="17" t="s">
        <v>541</v>
      </c>
      <c r="D39" s="21" t="n">
        <v>238.1</v>
      </c>
      <c r="E39" s="21" t="n">
        <v>171.7</v>
      </c>
      <c r="F39" s="21" t="n">
        <v>157.9</v>
      </c>
      <c r="G39" s="45" t="n">
        <f aca="false">D39+E39-F39</f>
        <v>251.9</v>
      </c>
      <c r="H39" s="17" t="s">
        <v>548</v>
      </c>
    </row>
    <row r="40" customFormat="false" ht="15" hidden="false" customHeight="false" outlineLevel="0" collapsed="false">
      <c r="C40" s="17" t="s">
        <v>549</v>
      </c>
      <c r="D40" s="21" t="n">
        <v>136.3</v>
      </c>
      <c r="E40" s="21" t="n">
        <v>71.3</v>
      </c>
      <c r="F40" s="21" t="n">
        <v>70.7</v>
      </c>
      <c r="G40" s="45" t="n">
        <f aca="false">D40+E40-F40</f>
        <v>136.9</v>
      </c>
      <c r="H40" s="17" t="s">
        <v>548</v>
      </c>
    </row>
    <row r="41" customFormat="false" ht="15" hidden="false" customHeight="false" outlineLevel="0" collapsed="false">
      <c r="C41" s="17" t="s">
        <v>550</v>
      </c>
      <c r="D41" s="21" t="n">
        <v>151.8</v>
      </c>
      <c r="E41" s="21" t="n">
        <v>112.7</v>
      </c>
      <c r="F41" s="21" t="n">
        <v>101.7</v>
      </c>
      <c r="G41" s="45" t="n">
        <f aca="false">D41+E41-F41</f>
        <v>162.8</v>
      </c>
      <c r="H41" s="17" t="s">
        <v>548</v>
      </c>
    </row>
    <row r="42" customFormat="false" ht="15" hidden="false" customHeight="false" outlineLevel="0" collapsed="false">
      <c r="C42" s="17" t="s">
        <v>544</v>
      </c>
      <c r="D42" s="34" t="n">
        <v>3.37</v>
      </c>
      <c r="E42" s="34" t="n">
        <v>2.53</v>
      </c>
      <c r="F42" s="34" t="n">
        <v>2.25</v>
      </c>
      <c r="G42" s="48" t="n">
        <f aca="false">D42+E42-F42</f>
        <v>3.65</v>
      </c>
      <c r="H42" s="17" t="s">
        <v>548</v>
      </c>
    </row>
    <row r="44" customFormat="false" ht="15" hidden="false" customHeight="false" outlineLevel="0" collapsed="false">
      <c r="B44" s="3" t="s">
        <v>516</v>
      </c>
    </row>
    <row r="45" customFormat="false" ht="15" hidden="false" customHeight="false" outlineLevel="0" collapsed="false">
      <c r="C45" s="17" t="s">
        <v>547</v>
      </c>
      <c r="D45" s="21" t="n">
        <v>7647</v>
      </c>
      <c r="E45" s="21" t="n">
        <v>4055</v>
      </c>
      <c r="F45" s="21" t="n">
        <v>4004</v>
      </c>
      <c r="G45" s="45" t="n">
        <f aca="false">D45+E45-F45</f>
        <v>7698</v>
      </c>
      <c r="H45" s="17" t="s">
        <v>551</v>
      </c>
    </row>
    <row r="46" customFormat="false" ht="15" hidden="false" customHeight="false" outlineLevel="0" collapsed="false">
      <c r="C46" s="17" t="s">
        <v>541</v>
      </c>
      <c r="D46" s="21" t="n">
        <v>722</v>
      </c>
      <c r="E46" s="21" t="n">
        <v>404</v>
      </c>
      <c r="F46" s="21" t="n">
        <v>384</v>
      </c>
      <c r="G46" s="45" t="n">
        <f aca="false">D46+E46-F46</f>
        <v>742</v>
      </c>
      <c r="H46" s="17" t="s">
        <v>551</v>
      </c>
    </row>
    <row r="47" customFormat="false" ht="15" hidden="false" customHeight="false" outlineLevel="0" collapsed="false">
      <c r="C47" s="17" t="s">
        <v>542</v>
      </c>
      <c r="D47" s="21" t="n">
        <v>192</v>
      </c>
      <c r="E47" s="21" t="n">
        <v>97</v>
      </c>
      <c r="F47" s="21" t="n">
        <v>96</v>
      </c>
      <c r="G47" s="45" t="n">
        <f aca="false">D47+E47-F47</f>
        <v>193</v>
      </c>
      <c r="H47" s="17" t="s">
        <v>551</v>
      </c>
    </row>
    <row r="48" customFormat="false" ht="15" hidden="false" customHeight="false" outlineLevel="0" collapsed="false">
      <c r="C48" s="17" t="s">
        <v>543</v>
      </c>
      <c r="D48" s="21" t="n">
        <v>441</v>
      </c>
      <c r="E48" s="21" t="n">
        <v>252</v>
      </c>
      <c r="F48" s="21" t="n">
        <v>234</v>
      </c>
      <c r="G48" s="45" t="n">
        <f aca="false">D48+E48-F48</f>
        <v>459</v>
      </c>
      <c r="H48" s="17" t="s">
        <v>551</v>
      </c>
    </row>
    <row r="49" customFormat="false" ht="15" hidden="false" customHeight="false" outlineLevel="0" collapsed="false">
      <c r="C49" s="17" t="s">
        <v>544</v>
      </c>
      <c r="D49" s="34" t="n">
        <v>2.31</v>
      </c>
      <c r="E49" s="34" t="n">
        <v>1.34</v>
      </c>
      <c r="F49" s="34" t="n">
        <v>1.22</v>
      </c>
      <c r="G49" s="48" t="n">
        <f aca="false">D49+E49-F49</f>
        <v>2.43</v>
      </c>
      <c r="H49" s="17" t="s">
        <v>551</v>
      </c>
    </row>
    <row r="51" customFormat="false" ht="15" hidden="false" customHeight="false" outlineLevel="0" collapsed="false">
      <c r="B51" s="3" t="s">
        <v>519</v>
      </c>
    </row>
    <row r="52" customFormat="false" ht="15" hidden="false" customHeight="false" outlineLevel="0" collapsed="false">
      <c r="C52" s="17" t="s">
        <v>547</v>
      </c>
      <c r="D52" s="21" t="n">
        <v>17942</v>
      </c>
      <c r="E52" s="21" t="n">
        <v>9763</v>
      </c>
      <c r="F52" s="21" t="n">
        <v>8860</v>
      </c>
      <c r="G52" s="45" t="n">
        <f aca="false">D52+E52-F52</f>
        <v>18845</v>
      </c>
      <c r="H52" s="17" t="s">
        <v>545</v>
      </c>
    </row>
    <row r="53" customFormat="false" ht="15" hidden="false" customHeight="false" outlineLevel="0" collapsed="false">
      <c r="C53" s="17" t="s">
        <v>541</v>
      </c>
      <c r="D53" s="21" t="n">
        <v>2495</v>
      </c>
      <c r="E53" s="21" t="n">
        <v>1600</v>
      </c>
      <c r="F53" s="21" t="n">
        <v>1350</v>
      </c>
      <c r="G53" s="45" t="n">
        <f aca="false">D53+E53-F53</f>
        <v>2745</v>
      </c>
      <c r="H53" s="17" t="s">
        <v>545</v>
      </c>
    </row>
    <row r="54" customFormat="false" ht="15" hidden="false" customHeight="false" outlineLevel="0" collapsed="false">
      <c r="C54" s="17" t="s">
        <v>542</v>
      </c>
      <c r="D54" s="21" t="n">
        <v>330</v>
      </c>
      <c r="E54" s="21" t="n">
        <v>165</v>
      </c>
      <c r="F54" s="21" t="n">
        <v>163</v>
      </c>
      <c r="G54" s="45" t="n">
        <f aca="false">D54+E54-F54</f>
        <v>332</v>
      </c>
      <c r="H54" s="17" t="s">
        <v>545</v>
      </c>
    </row>
    <row r="55" customFormat="false" ht="15" hidden="false" customHeight="false" outlineLevel="0" collapsed="false">
      <c r="C55" s="17" t="s">
        <v>543</v>
      </c>
      <c r="D55" s="21" t="n">
        <v>1706</v>
      </c>
      <c r="E55" s="21" t="n">
        <v>1125</v>
      </c>
      <c r="F55" s="21" t="n">
        <v>961</v>
      </c>
      <c r="G55" s="45" t="n">
        <f aca="false">D55+E55-F55</f>
        <v>1870</v>
      </c>
      <c r="H55" s="17" t="s">
        <v>545</v>
      </c>
    </row>
    <row r="56" customFormat="false" ht="15" hidden="false" customHeight="false" outlineLevel="0" collapsed="false">
      <c r="C56" s="17" t="s">
        <v>544</v>
      </c>
      <c r="D56" s="34" t="n">
        <v>35.4</v>
      </c>
      <c r="E56" s="34" t="n">
        <v>23.66</v>
      </c>
      <c r="F56" s="34" t="n">
        <v>19.83</v>
      </c>
      <c r="G56" s="48" t="n">
        <f aca="false">D56+E56-F56</f>
        <v>39.23</v>
      </c>
      <c r="H56" s="17" t="s">
        <v>545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9" min="3" style="0" width="12"/>
    <col collapsed="false" customWidth="true" hidden="false" outlineLevel="0" max="10" min="10" style="0" width="16"/>
  </cols>
  <sheetData>
    <row r="1" customFormat="false" ht="17.35" hidden="false" customHeight="false" outlineLevel="0" collapsed="false">
      <c r="B1" s="9" t="s">
        <v>552</v>
      </c>
    </row>
    <row r="2" customFormat="false" ht="15" hidden="false" customHeight="false" outlineLevel="0" collapsed="false">
      <c r="B2" s="10" t="s">
        <v>553</v>
      </c>
    </row>
    <row r="4" customFormat="false" ht="15" hidden="false" customHeight="false" outlineLevel="0" collapsed="false">
      <c r="B4" s="6" t="s">
        <v>554</v>
      </c>
      <c r="C4" s="7"/>
      <c r="D4" s="7"/>
      <c r="E4" s="7"/>
      <c r="F4" s="7"/>
      <c r="G4" s="7"/>
      <c r="H4" s="7"/>
      <c r="I4" s="6" t="s">
        <v>555</v>
      </c>
    </row>
    <row r="5" customFormat="false" ht="15" hidden="false" customHeight="false" outlineLevel="0" collapsed="false">
      <c r="B5" s="17" t="s">
        <v>556</v>
      </c>
      <c r="D5" s="66" t="n">
        <f aca="false">DCF!$D$50+(-2)*$I$5</f>
        <v>-0.01</v>
      </c>
      <c r="E5" s="66" t="n">
        <f aca="false">DCF!$D$50+(-1)*$I$5</f>
        <v>-0.005</v>
      </c>
      <c r="F5" s="67" t="n">
        <f aca="false">DCF!$D$50</f>
        <v>0</v>
      </c>
      <c r="G5" s="66" t="n">
        <f aca="false">DCF!$D$50+(1)*$I$5</f>
        <v>0.005</v>
      </c>
      <c r="H5" s="66" t="n">
        <f aca="false">DCF!$D$50+(2)*$I$5</f>
        <v>0.01</v>
      </c>
      <c r="I5" s="18" t="n">
        <v>0.005</v>
      </c>
      <c r="J5" s="17" t="s">
        <v>557</v>
      </c>
    </row>
    <row r="6" customFormat="false" ht="15" hidden="false" customHeight="false" outlineLevel="0" collapsed="false">
      <c r="C6" s="66" t="n">
        <f aca="false">DCF!$D$47+(-2)*$I$6</f>
        <v>-0.01</v>
      </c>
      <c r="D6" s="30"/>
      <c r="E6" s="30"/>
      <c r="F6" s="30"/>
      <c r="G6" s="30"/>
      <c r="H6" s="30"/>
      <c r="I6" s="18" t="n">
        <v>0.005</v>
      </c>
      <c r="J6" s="17" t="s">
        <v>558</v>
      </c>
    </row>
    <row r="7" customFormat="false" ht="15" hidden="false" customHeight="false" outlineLevel="0" collapsed="false">
      <c r="C7" s="66" t="n">
        <f aca="false">DCF!$D$47+(-1)*$I$6</f>
        <v>-0.005</v>
      </c>
      <c r="D7" s="30"/>
      <c r="E7" s="30"/>
      <c r="F7" s="30"/>
      <c r="G7" s="30"/>
      <c r="H7" s="30"/>
    </row>
    <row r="8" customFormat="false" ht="15" hidden="false" customHeight="false" outlineLevel="0" collapsed="false">
      <c r="C8" s="67" t="n">
        <f aca="false">DCF!$D$47</f>
        <v>0</v>
      </c>
      <c r="D8" s="30"/>
      <c r="E8" s="30"/>
      <c r="F8" s="68"/>
      <c r="G8" s="30"/>
      <c r="H8" s="30"/>
    </row>
    <row r="9" customFormat="false" ht="15" hidden="false" customHeight="false" outlineLevel="0" collapsed="false">
      <c r="C9" s="66" t="n">
        <f aca="false">DCF!$D$47+(1)*$I$6</f>
        <v>0.005</v>
      </c>
      <c r="D9" s="30"/>
      <c r="E9" s="30"/>
      <c r="F9" s="30"/>
      <c r="G9" s="30"/>
      <c r="H9" s="30"/>
    </row>
    <row r="10" customFormat="false" ht="15" hidden="false" customHeight="false" outlineLevel="0" collapsed="false">
      <c r="C10" s="66" t="n">
        <f aca="false">DCF!$D$47+(2)*$I$6</f>
        <v>0.01</v>
      </c>
      <c r="D10" s="30"/>
      <c r="E10" s="30"/>
      <c r="F10" s="30"/>
      <c r="G10" s="30"/>
      <c r="H10" s="30"/>
    </row>
    <row r="12" customFormat="false" ht="15" hidden="false" customHeight="false" outlineLevel="0" collapsed="false">
      <c r="B12" s="17" t="s">
        <v>559</v>
      </c>
    </row>
    <row r="14" customFormat="false" ht="15" hidden="false" customHeight="false" outlineLevel="0" collapsed="false">
      <c r="B14" s="6" t="s">
        <v>560</v>
      </c>
      <c r="C14" s="7"/>
      <c r="D14" s="7"/>
      <c r="E14" s="7"/>
      <c r="F14" s="7"/>
      <c r="G14" s="7"/>
      <c r="H14" s="7"/>
      <c r="I14" s="6" t="s">
        <v>555</v>
      </c>
    </row>
    <row r="15" customFormat="false" ht="15" hidden="false" customHeight="false" outlineLevel="0" collapsed="false">
      <c r="B15" s="17" t="s">
        <v>561</v>
      </c>
      <c r="D15" s="69" t="n">
        <f aca="false">DCF!$D$51+(-2)*$I$15</f>
        <v>-2</v>
      </c>
      <c r="E15" s="69" t="n">
        <f aca="false">DCF!$D$51+(-1)*$I$15</f>
        <v>-1</v>
      </c>
      <c r="F15" s="70" t="n">
        <f aca="false">DCF!$D$51</f>
        <v>0</v>
      </c>
      <c r="G15" s="69" t="n">
        <f aca="false">DCF!$D$51+(1)*$I$15</f>
        <v>1</v>
      </c>
      <c r="H15" s="69" t="n">
        <f aca="false">DCF!$D$51+(2)*$I$15</f>
        <v>2</v>
      </c>
      <c r="I15" s="71" t="n">
        <v>1</v>
      </c>
      <c r="J15" s="17" t="s">
        <v>557</v>
      </c>
    </row>
    <row r="16" customFormat="false" ht="15" hidden="false" customHeight="false" outlineLevel="0" collapsed="false">
      <c r="C16" s="66" t="n">
        <f aca="false">DCF!$D$47+(-2)*$I$16</f>
        <v>-0.01</v>
      </c>
      <c r="D16" s="30"/>
      <c r="E16" s="30"/>
      <c r="F16" s="30"/>
      <c r="G16" s="30"/>
      <c r="H16" s="30"/>
      <c r="I16" s="18" t="n">
        <v>0.005</v>
      </c>
      <c r="J16" s="17" t="s">
        <v>558</v>
      </c>
    </row>
    <row r="17" customFormat="false" ht="15" hidden="false" customHeight="false" outlineLevel="0" collapsed="false">
      <c r="C17" s="66" t="n">
        <f aca="false">DCF!$D$47+(-1)*$I$16</f>
        <v>-0.005</v>
      </c>
      <c r="D17" s="30"/>
      <c r="E17" s="30"/>
      <c r="F17" s="30"/>
      <c r="G17" s="30"/>
      <c r="H17" s="30"/>
    </row>
    <row r="18" customFormat="false" ht="15" hidden="false" customHeight="false" outlineLevel="0" collapsed="false">
      <c r="C18" s="67" t="n">
        <f aca="false">DCF!$D$47</f>
        <v>0</v>
      </c>
      <c r="D18" s="30"/>
      <c r="E18" s="30"/>
      <c r="F18" s="68"/>
      <c r="G18" s="30"/>
      <c r="H18" s="30"/>
    </row>
    <row r="19" customFormat="false" ht="15" hidden="false" customHeight="false" outlineLevel="0" collapsed="false">
      <c r="C19" s="66" t="n">
        <f aca="false">DCF!$D$47+(1)*$I$16</f>
        <v>0.005</v>
      </c>
      <c r="D19" s="30"/>
      <c r="E19" s="30"/>
      <c r="F19" s="30"/>
      <c r="G19" s="30"/>
      <c r="H19" s="30"/>
    </row>
    <row r="20" customFormat="false" ht="15" hidden="false" customHeight="false" outlineLevel="0" collapsed="false">
      <c r="C20" s="66" t="n">
        <f aca="false">DCF!$D$47+(2)*$I$16</f>
        <v>0.01</v>
      </c>
      <c r="D20" s="30"/>
      <c r="E20" s="30"/>
      <c r="F20" s="30"/>
      <c r="G20" s="30"/>
      <c r="H20" s="30"/>
    </row>
    <row r="22" customFormat="false" ht="15" hidden="false" customHeight="false" outlineLevel="0" collapsed="false">
      <c r="B22" s="17" t="s">
        <v>562</v>
      </c>
    </row>
    <row r="24" customFormat="false" ht="15" hidden="false" customHeight="false" outlineLevel="0" collapsed="false">
      <c r="B24" s="6" t="s">
        <v>563</v>
      </c>
      <c r="C24" s="7"/>
      <c r="D24" s="7"/>
      <c r="E24" s="7"/>
      <c r="F24" s="7"/>
      <c r="G24" s="7"/>
      <c r="H24" s="7"/>
      <c r="I24" s="6" t="s">
        <v>555</v>
      </c>
    </row>
    <row r="25" customFormat="false" ht="15" hidden="false" customHeight="false" outlineLevel="0" collapsed="false">
      <c r="B25" s="17" t="s">
        <v>564</v>
      </c>
      <c r="D25" s="66" t="n">
        <f aca="false">0+(-2)*$I$25</f>
        <v>-0.01</v>
      </c>
      <c r="E25" s="66" t="n">
        <f aca="false">0+(-1)*$I$25</f>
        <v>-0.005</v>
      </c>
      <c r="F25" s="66" t="n">
        <f aca="false">0</f>
        <v>0</v>
      </c>
      <c r="G25" s="66" t="n">
        <f aca="false">0+(1)*$I$25</f>
        <v>0.005</v>
      </c>
      <c r="H25" s="66" t="n">
        <f aca="false">0+(2)*$I$25</f>
        <v>0.01</v>
      </c>
      <c r="I25" s="18" t="n">
        <v>0.005</v>
      </c>
      <c r="J25" s="17" t="s">
        <v>557</v>
      </c>
    </row>
    <row r="26" customFormat="false" ht="15" hidden="false" customHeight="false" outlineLevel="0" collapsed="false">
      <c r="C26" s="66" t="n">
        <f aca="false">0+(-2)*$I$26</f>
        <v>-0.02</v>
      </c>
      <c r="D26" s="30"/>
      <c r="E26" s="30"/>
      <c r="F26" s="30"/>
      <c r="G26" s="30"/>
      <c r="H26" s="30"/>
      <c r="I26" s="18" t="n">
        <v>0.01</v>
      </c>
      <c r="J26" s="17" t="s">
        <v>558</v>
      </c>
    </row>
    <row r="27" customFormat="false" ht="15" hidden="false" customHeight="false" outlineLevel="0" collapsed="false">
      <c r="C27" s="66" t="n">
        <f aca="false">0+(-1)*$I$26</f>
        <v>-0.01</v>
      </c>
      <c r="D27" s="30"/>
      <c r="E27" s="30"/>
      <c r="F27" s="30"/>
      <c r="G27" s="30"/>
      <c r="H27" s="30"/>
    </row>
    <row r="28" customFormat="false" ht="15" hidden="false" customHeight="false" outlineLevel="0" collapsed="false">
      <c r="C28" s="66" t="n">
        <f aca="false">0</f>
        <v>0</v>
      </c>
      <c r="D28" s="30"/>
      <c r="E28" s="30"/>
      <c r="F28" s="68"/>
      <c r="G28" s="30"/>
      <c r="H28" s="30"/>
    </row>
    <row r="29" customFormat="false" ht="15" hidden="false" customHeight="false" outlineLevel="0" collapsed="false">
      <c r="C29" s="66" t="n">
        <f aca="false">0+(1)*$I$26</f>
        <v>0.01</v>
      </c>
      <c r="D29" s="30"/>
      <c r="E29" s="30"/>
      <c r="F29" s="30"/>
      <c r="G29" s="30"/>
      <c r="H29" s="30"/>
    </row>
    <row r="30" customFormat="false" ht="15" hidden="false" customHeight="false" outlineLevel="0" collapsed="false">
      <c r="C30" s="66" t="n">
        <f aca="false">0+(2)*$I$26</f>
        <v>0.02</v>
      </c>
      <c r="D30" s="30"/>
      <c r="E30" s="30"/>
      <c r="F30" s="30"/>
      <c r="G30" s="30"/>
      <c r="H30" s="30"/>
    </row>
    <row r="32" customFormat="false" ht="15" hidden="false" customHeight="false" outlineLevel="0" collapsed="false">
      <c r="B32" s="17" t="s">
        <v>565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6" min="3" style="0" width="13"/>
    <col collapsed="false" customWidth="true" hidden="false" outlineLevel="0" max="7" min="7" style="0" width="70"/>
  </cols>
  <sheetData>
    <row r="1" customFormat="false" ht="17.35" hidden="false" customHeight="false" outlineLevel="0" collapsed="false">
      <c r="B1" s="9" t="s">
        <v>566</v>
      </c>
    </row>
    <row r="2" customFormat="false" ht="15" hidden="false" customHeight="false" outlineLevel="0" collapsed="false">
      <c r="B2" s="10" t="s">
        <v>567</v>
      </c>
    </row>
    <row r="4" customFormat="false" ht="15" hidden="false" customHeight="false" outlineLevel="0" collapsed="false">
      <c r="B4" s="11" t="s">
        <v>568</v>
      </c>
      <c r="C4" s="11" t="s">
        <v>569</v>
      </c>
      <c r="D4" s="11" t="s">
        <v>570</v>
      </c>
      <c r="E4" s="11" t="s">
        <v>571</v>
      </c>
      <c r="G4" s="11" t="s">
        <v>572</v>
      </c>
    </row>
    <row r="5" customFormat="false" ht="15" hidden="false" customHeight="false" outlineLevel="0" collapsed="false">
      <c r="B5" s="4" t="s">
        <v>573</v>
      </c>
      <c r="C5" s="34" t="n">
        <v>277.34</v>
      </c>
      <c r="D5" s="34" t="n">
        <v>459</v>
      </c>
      <c r="E5" s="48" t="n">
        <f aca="false">D5-C5</f>
        <v>181.66</v>
      </c>
      <c r="G5" s="17" t="s">
        <v>574</v>
      </c>
    </row>
    <row r="6" customFormat="false" ht="15" hidden="false" customHeight="false" outlineLevel="0" collapsed="false">
      <c r="B6" s="4" t="s">
        <v>575</v>
      </c>
      <c r="C6" s="30"/>
      <c r="D6" s="30"/>
      <c r="E6" s="30"/>
      <c r="G6" s="17" t="s">
        <v>576</v>
      </c>
    </row>
    <row r="7" customFormat="false" ht="15" hidden="false" customHeight="false" outlineLevel="0" collapsed="false">
      <c r="B7" s="4" t="s">
        <v>577</v>
      </c>
      <c r="C7" s="30"/>
      <c r="D7" s="30"/>
      <c r="E7" s="30"/>
      <c r="G7" s="17" t="s">
        <v>578</v>
      </c>
    </row>
    <row r="8" customFormat="false" ht="15" hidden="false" customHeight="false" outlineLevel="0" collapsed="false">
      <c r="B8" s="4" t="s">
        <v>579</v>
      </c>
      <c r="C8" s="30"/>
      <c r="D8" s="30"/>
      <c r="E8" s="30"/>
      <c r="G8" s="17" t="s">
        <v>580</v>
      </c>
    </row>
    <row r="9" customFormat="false" ht="15" hidden="false" customHeight="false" outlineLevel="0" collapsed="false">
      <c r="B9" s="4" t="s">
        <v>581</v>
      </c>
      <c r="C9" s="30"/>
      <c r="D9" s="30"/>
      <c r="E9" s="30"/>
      <c r="G9" s="17" t="s">
        <v>582</v>
      </c>
    </row>
    <row r="11" customFormat="false" ht="15" hidden="false" customHeight="false" outlineLevel="0" collapsed="false">
      <c r="B11" s="0" t="s">
        <v>481</v>
      </c>
      <c r="C11" s="29" t="n">
        <f aca="false">Inputs!$D$47</f>
        <v>279.9</v>
      </c>
    </row>
    <row r="12" customFormat="false" ht="15" hidden="false" customHeight="false" outlineLevel="0" collapsed="false">
      <c r="B12" s="0" t="s">
        <v>583</v>
      </c>
      <c r="C12" s="30"/>
    </row>
    <row r="14" customFormat="false" ht="15" hidden="false" customHeight="false" outlineLevel="0" collapsed="false">
      <c r="B14" s="17" t="s">
        <v>584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585</v>
      </c>
    </row>
    <row r="2" customFormat="false" ht="15" hidden="false" customHeight="false" outlineLevel="0" collapsed="false">
      <c r="B2" s="10" t="s">
        <v>586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587</v>
      </c>
      <c r="E4" s="12" t="s">
        <v>588</v>
      </c>
      <c r="F4" s="12" t="s">
        <v>589</v>
      </c>
      <c r="G4" s="12" t="s">
        <v>590</v>
      </c>
      <c r="H4" s="12" t="s">
        <v>591</v>
      </c>
      <c r="I4" s="12" t="s">
        <v>592</v>
      </c>
      <c r="J4" s="12" t="s">
        <v>593</v>
      </c>
      <c r="K4" s="12" t="s">
        <v>594</v>
      </c>
      <c r="L4" s="12" t="s">
        <v>595</v>
      </c>
      <c r="M4" s="12" t="s">
        <v>596</v>
      </c>
      <c r="N4" s="12" t="s">
        <v>70</v>
      </c>
      <c r="O4" s="12" t="s">
        <v>71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45382</v>
      </c>
      <c r="E5" s="15" t="n">
        <v>45473</v>
      </c>
      <c r="F5" s="15" t="n">
        <v>45565</v>
      </c>
      <c r="G5" s="15" t="n">
        <v>45657</v>
      </c>
      <c r="H5" s="15" t="n">
        <v>45747</v>
      </c>
      <c r="I5" s="15" t="n">
        <v>45838</v>
      </c>
      <c r="J5" s="15" t="n">
        <v>45930</v>
      </c>
      <c r="K5" s="15" t="n">
        <v>46022</v>
      </c>
      <c r="L5" s="15" t="n">
        <v>46112</v>
      </c>
      <c r="M5" s="15" t="n">
        <v>46203</v>
      </c>
      <c r="N5" s="15" t="n">
        <v>45657</v>
      </c>
      <c r="O5" s="15" t="n">
        <v>46022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13</v>
      </c>
      <c r="E6" s="16" t="n">
        <v>13</v>
      </c>
      <c r="F6" s="16" t="n">
        <v>13</v>
      </c>
      <c r="G6" s="16" t="n">
        <v>13</v>
      </c>
      <c r="H6" s="16" t="n">
        <v>13</v>
      </c>
      <c r="I6" s="16" t="n">
        <v>13</v>
      </c>
      <c r="J6" s="16" t="n">
        <v>13</v>
      </c>
      <c r="K6" s="16" t="n">
        <v>13</v>
      </c>
      <c r="L6" s="16" t="n">
        <v>13</v>
      </c>
      <c r="M6" s="16" t="n">
        <v>13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597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218</v>
      </c>
      <c r="C9" s="17" t="s">
        <v>88</v>
      </c>
      <c r="D9" s="21" t="n">
        <v>1564.991</v>
      </c>
      <c r="E9" s="21" t="n">
        <v>2139.328</v>
      </c>
      <c r="F9" s="21" t="n">
        <v>2160.036</v>
      </c>
      <c r="G9" s="45" t="n">
        <f aca="false">IS!F8-SUM(D9:F9)</f>
        <v>1753.962</v>
      </c>
      <c r="H9" s="21" t="n">
        <v>1531.086</v>
      </c>
      <c r="I9" s="21" t="n">
        <v>2062.442</v>
      </c>
      <c r="J9" s="21" t="n">
        <v>2067.005</v>
      </c>
      <c r="K9" s="45" t="n">
        <f aca="false">IS!G8-SUM(H9:J9)</f>
        <v>1578.757</v>
      </c>
      <c r="L9" s="21" t="n">
        <v>1533.01</v>
      </c>
      <c r="M9" s="21" t="n">
        <v>2104.859</v>
      </c>
      <c r="N9" s="45" t="n">
        <f aca="false">SUM(D9:G9)</f>
        <v>7618.317</v>
      </c>
      <c r="O9" s="45" t="n">
        <f aca="false">SUM(H9:K9)</f>
        <v>7239.29</v>
      </c>
      <c r="P9" s="20" t="s">
        <v>598</v>
      </c>
    </row>
    <row r="10" customFormat="false" ht="15" hidden="false" customHeight="false" outlineLevel="0" collapsed="false">
      <c r="B10" s="4" t="s">
        <v>221</v>
      </c>
      <c r="C10" s="17" t="s">
        <v>88</v>
      </c>
      <c r="D10" s="21" t="n">
        <v>430.625</v>
      </c>
      <c r="E10" s="21" t="n">
        <v>579.76</v>
      </c>
      <c r="F10" s="21" t="n">
        <v>566.244</v>
      </c>
      <c r="G10" s="45" t="n">
        <f aca="false">IS!F11-SUM(D10:F10)</f>
        <v>468.084</v>
      </c>
      <c r="H10" s="21" t="n">
        <v>429.623</v>
      </c>
      <c r="I10" s="21" t="n">
        <v>603.488</v>
      </c>
      <c r="J10" s="21" t="n">
        <v>568.915</v>
      </c>
      <c r="K10" s="45" t="n">
        <f aca="false">IS!G11-SUM(H10:J10)</f>
        <v>428.438</v>
      </c>
      <c r="L10" s="21" t="n">
        <v>427.555</v>
      </c>
      <c r="M10" s="21" t="n">
        <v>578.929</v>
      </c>
      <c r="N10" s="45" t="n">
        <f aca="false">SUM(D10:G10)</f>
        <v>2044.713</v>
      </c>
      <c r="O10" s="45" t="n">
        <f aca="false">SUM(H10:K10)</f>
        <v>2030.464</v>
      </c>
      <c r="P10" s="20" t="s">
        <v>598</v>
      </c>
    </row>
    <row r="11" customFormat="false" ht="15" hidden="false" customHeight="false" outlineLevel="0" collapsed="false">
      <c r="B11" s="4" t="s">
        <v>599</v>
      </c>
      <c r="C11" s="17" t="s">
        <v>88</v>
      </c>
      <c r="D11" s="21" t="n">
        <v>126.537</v>
      </c>
      <c r="E11" s="21" t="n">
        <v>268.803</v>
      </c>
      <c r="F11" s="21" t="n">
        <v>250.247</v>
      </c>
      <c r="G11" s="45" t="n">
        <f aca="false">IS!F15-SUM(D11:F11)</f>
        <v>136.188</v>
      </c>
      <c r="H11" s="21" t="n">
        <v>112.188</v>
      </c>
      <c r="I11" s="21" t="n">
        <v>271.869</v>
      </c>
      <c r="J11" s="21" t="n">
        <v>234.762</v>
      </c>
      <c r="K11" s="45" t="n">
        <f aca="false">IS!G15-SUM(H11:J11)</f>
        <v>101.528</v>
      </c>
      <c r="L11" s="21" t="n">
        <v>110.184</v>
      </c>
      <c r="M11" s="21" t="n">
        <v>238.372</v>
      </c>
      <c r="N11" s="45" t="n">
        <f aca="false">SUM(D11:G11)</f>
        <v>781.775</v>
      </c>
      <c r="O11" s="45" t="n">
        <f aca="false">SUM(H11:K11)</f>
        <v>720.347</v>
      </c>
      <c r="P11" s="20" t="s">
        <v>598</v>
      </c>
    </row>
    <row r="12" customFormat="false" ht="15" hidden="false" customHeight="false" outlineLevel="0" collapsed="false">
      <c r="B12" s="4" t="s">
        <v>235</v>
      </c>
      <c r="C12" s="17" t="s">
        <v>88</v>
      </c>
      <c r="D12" s="21" t="n">
        <v>87.004</v>
      </c>
      <c r="E12" s="21" t="n">
        <v>181.41</v>
      </c>
      <c r="F12" s="21" t="n">
        <v>171.031</v>
      </c>
      <c r="G12" s="45" t="n">
        <f aca="false">IS!F22-SUM(D12:F12)</f>
        <v>96.8409999999997</v>
      </c>
      <c r="H12" s="21" t="n">
        <v>80.061</v>
      </c>
      <c r="I12" s="21" t="n">
        <v>183.613</v>
      </c>
      <c r="J12" s="21" t="n">
        <v>161.575</v>
      </c>
      <c r="K12" s="45" t="n">
        <f aca="false">IS!G22-SUM(H12:J12)</f>
        <v>71.7449999999999</v>
      </c>
      <c r="L12" s="21" t="n">
        <v>79.074</v>
      </c>
      <c r="M12" s="21" t="n">
        <v>163.336</v>
      </c>
      <c r="N12" s="45" t="n">
        <f aca="false">SUM(D12:G12)</f>
        <v>536.286</v>
      </c>
      <c r="O12" s="45" t="n">
        <f aca="false">SUM(H12:K12)</f>
        <v>496.994</v>
      </c>
      <c r="P12" s="20" t="s">
        <v>598</v>
      </c>
    </row>
    <row r="13" customFormat="false" ht="15" hidden="false" customHeight="false" outlineLevel="0" collapsed="false">
      <c r="B13" s="4" t="s">
        <v>91</v>
      </c>
      <c r="C13" s="17" t="s">
        <v>85</v>
      </c>
      <c r="D13" s="23" t="n">
        <f aca="false">D10/D9</f>
        <v>0.275161326806352</v>
      </c>
      <c r="E13" s="23" t="n">
        <f aca="false">E10/E9</f>
        <v>0.271000987225895</v>
      </c>
      <c r="F13" s="23" t="n">
        <f aca="false">F10/F9</f>
        <v>0.262145630906152</v>
      </c>
      <c r="G13" s="23" t="n">
        <f aca="false">G10/G9</f>
        <v>0.266872372377509</v>
      </c>
      <c r="H13" s="23" t="n">
        <f aca="false">H10/H9</f>
        <v>0.280600175300408</v>
      </c>
      <c r="I13" s="23" t="n">
        <f aca="false">I10/I9</f>
        <v>0.292608470929122</v>
      </c>
      <c r="J13" s="23" t="n">
        <f aca="false">J10/J9</f>
        <v>0.275236392751832</v>
      </c>
      <c r="K13" s="23" t="n">
        <f aca="false">K10/K9</f>
        <v>0.271376785661125</v>
      </c>
      <c r="L13" s="23" t="n">
        <f aca="false">L10/L9</f>
        <v>0.278899028708228</v>
      </c>
      <c r="M13" s="23" t="n">
        <f aca="false">M10/M9</f>
        <v>0.275044076586603</v>
      </c>
      <c r="N13" s="23" t="n">
        <f aca="false">N10/N9</f>
        <v>0.268394318587688</v>
      </c>
      <c r="O13" s="23" t="n">
        <f aca="false">O10/O9</f>
        <v>0.280478334201282</v>
      </c>
    </row>
    <row r="14" customFormat="false" ht="15" hidden="false" customHeight="false" outlineLevel="0" collapsed="false">
      <c r="B14" s="4" t="s">
        <v>600</v>
      </c>
      <c r="C14" s="17" t="s">
        <v>85</v>
      </c>
      <c r="D14" s="23" t="n">
        <f aca="false">D11/D9</f>
        <v>0.080854778078596</v>
      </c>
      <c r="E14" s="23" t="n">
        <f aca="false">E11/E9</f>
        <v>0.125648334430251</v>
      </c>
      <c r="F14" s="23" t="n">
        <f aca="false">F11/F9</f>
        <v>0.115853161706564</v>
      </c>
      <c r="G14" s="23" t="n">
        <f aca="false">G11/G9</f>
        <v>0.0776459239139728</v>
      </c>
      <c r="H14" s="23" t="n">
        <f aca="false">H11/H9</f>
        <v>0.073273480392349</v>
      </c>
      <c r="I14" s="23" t="n">
        <f aca="false">I11/I9</f>
        <v>0.131818979636761</v>
      </c>
      <c r="J14" s="23" t="n">
        <f aca="false">J11/J9</f>
        <v>0.113575922651372</v>
      </c>
      <c r="K14" s="23" t="n">
        <f aca="false">K11/K9</f>
        <v>0.0643088201667514</v>
      </c>
      <c r="L14" s="23" t="n">
        <f aca="false">L11/L9</f>
        <v>0.0718742865343344</v>
      </c>
      <c r="M14" s="23" t="n">
        <f aca="false">M11/M9</f>
        <v>0.113248440869436</v>
      </c>
      <c r="N14" s="23" t="n">
        <f aca="false">N11/N9</f>
        <v>0.102617809156537</v>
      </c>
      <c r="O14" s="23" t="n">
        <f aca="false">O11/O9</f>
        <v>0.0995052000955895</v>
      </c>
    </row>
    <row r="15" customFormat="false" ht="15" hidden="false" customHeight="false" outlineLevel="0" collapsed="false">
      <c r="B15" s="4" t="s">
        <v>601</v>
      </c>
      <c r="C15" s="17" t="s">
        <v>85</v>
      </c>
      <c r="H15" s="23" t="n">
        <f aca="false">H9/D9-1</f>
        <v>-0.0216646613303207</v>
      </c>
      <c r="I15" s="23" t="n">
        <f aca="false">I9/E9-1</f>
        <v>-0.0359393230023634</v>
      </c>
      <c r="J15" s="23" t="n">
        <f aca="false">J9/F9-1</f>
        <v>-0.0430691895875809</v>
      </c>
      <c r="K15" s="23" t="n">
        <f aca="false">K9/G9-1</f>
        <v>-0.0998909896565609</v>
      </c>
      <c r="L15" s="23" t="n">
        <f aca="false">L9/H9-1</f>
        <v>0.00125662438295437</v>
      </c>
      <c r="M15" s="23" t="n">
        <f aca="false">M9/I9-1</f>
        <v>0.0205663965338176</v>
      </c>
    </row>
    <row r="16" customFormat="false" ht="15" hidden="false" customHeight="false" outlineLevel="0" collapsed="false">
      <c r="B16" s="4" t="s">
        <v>602</v>
      </c>
      <c r="C16" s="17" t="s">
        <v>603</v>
      </c>
      <c r="H16" s="72" t="n">
        <f aca="false">(H13-D13)*10000</f>
        <v>54.388484940554</v>
      </c>
      <c r="I16" s="72" t="n">
        <f aca="false">(I13-E13)*10000</f>
        <v>216.074837032267</v>
      </c>
      <c r="J16" s="72" t="n">
        <f aca="false">(J13-F13)*10000</f>
        <v>130.907618456801</v>
      </c>
      <c r="K16" s="72" t="n">
        <f aca="false">(K13-G13)*10000</f>
        <v>45.0441328361595</v>
      </c>
      <c r="L16" s="72" t="n">
        <f aca="false">(L13-H13)*10000</f>
        <v>-17.0114659218001</v>
      </c>
      <c r="M16" s="72" t="n">
        <f aca="false">(M13-I13)*10000</f>
        <v>-175.643943425192</v>
      </c>
    </row>
    <row r="17" customFormat="false" ht="15" hidden="false" customHeight="false" outlineLevel="0" collapsed="false">
      <c r="B17" s="4" t="s">
        <v>604</v>
      </c>
      <c r="C17" s="17" t="s">
        <v>85</v>
      </c>
      <c r="D17" s="23" t="n">
        <f aca="false">D9/N9</f>
        <v>0.205424767701318</v>
      </c>
      <c r="E17" s="23" t="n">
        <f aca="false">E9/N9</f>
        <v>0.280813728281456</v>
      </c>
      <c r="F17" s="23" t="n">
        <f aca="false">F9/N9</f>
        <v>0.283531913938472</v>
      </c>
      <c r="G17" s="23" t="n">
        <f aca="false">G9/N9</f>
        <v>0.230229590078754</v>
      </c>
      <c r="H17" s="23" t="n">
        <f aca="false">H9/O9</f>
        <v>0.21149670755005</v>
      </c>
      <c r="I17" s="23" t="n">
        <f aca="false">I9/O9</f>
        <v>0.284895618216704</v>
      </c>
      <c r="J17" s="23" t="n">
        <f aca="false">J9/O9</f>
        <v>0.285525928647699</v>
      </c>
      <c r="K17" s="23" t="n">
        <f aca="false">K9/O9</f>
        <v>0.218081745585548</v>
      </c>
    </row>
    <row r="18" customFormat="false" ht="15" hidden="false" customHeight="false" outlineLevel="0" collapsed="false">
      <c r="B18" s="4" t="s">
        <v>605</v>
      </c>
      <c r="C18" s="17" t="s">
        <v>88</v>
      </c>
      <c r="I18" s="49" t="n">
        <f aca="false">H9+I9-IS!H8</f>
        <v>0</v>
      </c>
      <c r="M18" s="49" t="n">
        <f aca="false">L9+M9-IS!I8</f>
        <v>0</v>
      </c>
    </row>
    <row r="19" customFormat="false" ht="15" hidden="false" customHeight="false" outlineLevel="0" collapsed="false">
      <c r="B19" s="17" t="s">
        <v>606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60"/>
  </cols>
  <sheetData>
    <row r="1" customFormat="false" ht="17.35" hidden="false" customHeight="false" outlineLevel="0" collapsed="false">
      <c r="B1" s="9" t="s">
        <v>607</v>
      </c>
    </row>
    <row r="2" customFormat="false" ht="15" hidden="false" customHeight="false" outlineLevel="0" collapsed="false">
      <c r="B2" s="10" t="s">
        <v>608</v>
      </c>
    </row>
    <row r="4" customFormat="false" ht="15" hidden="false" customHeight="false" outlineLevel="0" collapsed="false">
      <c r="B4" s="11" t="s">
        <v>609</v>
      </c>
      <c r="C4" s="11" t="s">
        <v>610</v>
      </c>
      <c r="D4" s="11" t="s">
        <v>611</v>
      </c>
      <c r="E4" s="11" t="s">
        <v>612</v>
      </c>
      <c r="F4" s="11" t="s">
        <v>613</v>
      </c>
    </row>
    <row r="5" customFormat="false" ht="15" hidden="false" customHeight="false" outlineLevel="0" collapsed="false">
      <c r="B5" s="4" t="s">
        <v>614</v>
      </c>
      <c r="C5" s="73" t="n">
        <f aca="false">BS!K42</f>
        <v>0</v>
      </c>
      <c r="D5" s="74" t="n">
        <v>0</v>
      </c>
      <c r="E5" s="75" t="str">
        <f aca="false">IF(ABS(C5)&lt;=D5+0.000000001,"OK","CHECK")</f>
        <v>OK</v>
      </c>
      <c r="F5" s="17" t="s">
        <v>615</v>
      </c>
    </row>
    <row r="6" customFormat="false" ht="15" hidden="false" customHeight="false" outlineLevel="0" collapsed="false">
      <c r="B6" s="4" t="s">
        <v>616</v>
      </c>
      <c r="C6" s="73" t="n">
        <f aca="false">BS!L42</f>
        <v>0</v>
      </c>
      <c r="D6" s="74" t="n">
        <v>0</v>
      </c>
      <c r="E6" s="75" t="str">
        <f aca="false">IF(ABS(C6)&lt;=D6+0.000000001,"OK","CHECK")</f>
        <v>OK</v>
      </c>
      <c r="F6" s="17" t="s">
        <v>615</v>
      </c>
    </row>
    <row r="7" customFormat="false" ht="15" hidden="false" customHeight="false" outlineLevel="0" collapsed="false">
      <c r="B7" s="4" t="s">
        <v>617</v>
      </c>
      <c r="C7" s="73" t="n">
        <f aca="false">BS!M42</f>
        <v>0</v>
      </c>
      <c r="D7" s="74" t="n">
        <v>0</v>
      </c>
      <c r="E7" s="75" t="str">
        <f aca="false">IF(ABS(C7)&lt;=D7+0.000000001,"OK","CHECK")</f>
        <v>OK</v>
      </c>
      <c r="F7" s="17" t="s">
        <v>615</v>
      </c>
    </row>
    <row r="8" customFormat="false" ht="15" hidden="false" customHeight="false" outlineLevel="0" collapsed="false">
      <c r="B8" s="4" t="s">
        <v>618</v>
      </c>
      <c r="C8" s="73" t="n">
        <f aca="false">BS!N42</f>
        <v>0</v>
      </c>
      <c r="D8" s="74" t="n">
        <v>0</v>
      </c>
      <c r="E8" s="75" t="str">
        <f aca="false">IF(ABS(C8)&lt;=D8+0.000000001,"OK","CHECK")</f>
        <v>OK</v>
      </c>
      <c r="F8" s="17" t="s">
        <v>615</v>
      </c>
    </row>
    <row r="9" customFormat="false" ht="15" hidden="false" customHeight="false" outlineLevel="0" collapsed="false">
      <c r="B9" s="4" t="s">
        <v>619</v>
      </c>
      <c r="C9" s="73" t="n">
        <f aca="false">BS!O42</f>
        <v>0</v>
      </c>
      <c r="D9" s="74" t="n">
        <v>0</v>
      </c>
      <c r="E9" s="75" t="str">
        <f aca="false">IF(ABS(C9)&lt;=D9+0.000000001,"OK","CHECK")</f>
        <v>OK</v>
      </c>
      <c r="F9" s="17" t="s">
        <v>615</v>
      </c>
    </row>
    <row r="10" customFormat="false" ht="15" hidden="false" customHeight="false" outlineLevel="0" collapsed="false">
      <c r="B10" s="4" t="s">
        <v>620</v>
      </c>
      <c r="C10" s="73" t="n">
        <f aca="false">BS!D42</f>
        <v>0</v>
      </c>
      <c r="D10" s="74" t="n">
        <v>0.5</v>
      </c>
      <c r="E10" s="75" t="str">
        <f aca="false">IF(ABS(C10)&lt;=D10+0.000000001,"OK","CHECK")</f>
        <v>OK</v>
      </c>
      <c r="F10" s="17" t="s">
        <v>621</v>
      </c>
    </row>
    <row r="11" customFormat="false" ht="15" hidden="false" customHeight="false" outlineLevel="0" collapsed="false">
      <c r="B11" s="4" t="s">
        <v>622</v>
      </c>
      <c r="C11" s="73" t="n">
        <f aca="false">BS!E42</f>
        <v>0</v>
      </c>
      <c r="D11" s="74" t="n">
        <v>0.5</v>
      </c>
      <c r="E11" s="75" t="str">
        <f aca="false">IF(ABS(C11)&lt;=D11+0.000000001,"OK","CHECK")</f>
        <v>OK</v>
      </c>
      <c r="F11" s="17" t="s">
        <v>621</v>
      </c>
    </row>
    <row r="12" customFormat="false" ht="15" hidden="false" customHeight="false" outlineLevel="0" collapsed="false">
      <c r="B12" s="4" t="s">
        <v>623</v>
      </c>
      <c r="C12" s="73" t="n">
        <f aca="false">BS!F42</f>
        <v>0</v>
      </c>
      <c r="D12" s="74" t="n">
        <v>0.5</v>
      </c>
      <c r="E12" s="75" t="str">
        <f aca="false">IF(ABS(C12)&lt;=D12+0.000000001,"OK","CHECK")</f>
        <v>OK</v>
      </c>
      <c r="F12" s="17" t="s">
        <v>621</v>
      </c>
    </row>
    <row r="13" customFormat="false" ht="15" hidden="false" customHeight="false" outlineLevel="0" collapsed="false">
      <c r="B13" s="4" t="s">
        <v>624</v>
      </c>
      <c r="C13" s="73" t="n">
        <f aca="false">BS!G42</f>
        <v>0</v>
      </c>
      <c r="D13" s="74" t="n">
        <v>0.5</v>
      </c>
      <c r="E13" s="75" t="str">
        <f aca="false">IF(ABS(C13)&lt;=D13+0.000000001,"OK","CHECK")</f>
        <v>OK</v>
      </c>
      <c r="F13" s="17" t="s">
        <v>621</v>
      </c>
    </row>
    <row r="14" customFormat="false" ht="15" hidden="false" customHeight="false" outlineLevel="0" collapsed="false">
      <c r="B14" s="4" t="s">
        <v>625</v>
      </c>
      <c r="C14" s="73" t="n">
        <f aca="false">BS!H42</f>
        <v>0</v>
      </c>
      <c r="D14" s="74" t="n">
        <v>0.5</v>
      </c>
      <c r="E14" s="75" t="str">
        <f aca="false">IF(ABS(C14)&lt;=D14+0.000000001,"OK","CHECK")</f>
        <v>OK</v>
      </c>
      <c r="F14" s="17" t="s">
        <v>621</v>
      </c>
    </row>
    <row r="15" customFormat="false" ht="15" hidden="false" customHeight="false" outlineLevel="0" collapsed="false">
      <c r="B15" s="4" t="s">
        <v>626</v>
      </c>
      <c r="C15" s="73" t="n">
        <f aca="false">BS!I42</f>
        <v>0</v>
      </c>
      <c r="D15" s="74" t="n">
        <v>0.5</v>
      </c>
      <c r="E15" s="75" t="str">
        <f aca="false">IF(ABS(C15)&lt;=D15+0.000000001,"OK","CHECK")</f>
        <v>OK</v>
      </c>
      <c r="F15" s="17" t="s">
        <v>621</v>
      </c>
    </row>
    <row r="16" customFormat="false" ht="15" hidden="false" customHeight="false" outlineLevel="0" collapsed="false">
      <c r="B16" s="4" t="s">
        <v>627</v>
      </c>
      <c r="C16" s="49" t="n">
        <f aca="false">CF!K40-BS!K9</f>
        <v>0</v>
      </c>
      <c r="D16" s="74" t="n">
        <v>0</v>
      </c>
      <c r="E16" s="75" t="str">
        <f aca="false">IF(ABS(C16)&lt;=D16+0.000000001,"OK","CHECK")</f>
        <v>OK</v>
      </c>
      <c r="F16" s="17" t="s">
        <v>615</v>
      </c>
    </row>
    <row r="17" customFormat="false" ht="15" hidden="false" customHeight="false" outlineLevel="0" collapsed="false">
      <c r="B17" s="4" t="s">
        <v>628</v>
      </c>
      <c r="C17" s="49" t="n">
        <f aca="false">CF!L40-BS!L9</f>
        <v>0</v>
      </c>
      <c r="D17" s="74" t="n">
        <v>0</v>
      </c>
      <c r="E17" s="75" t="str">
        <f aca="false">IF(ABS(C17)&lt;=D17+0.000000001,"OK","CHECK")</f>
        <v>OK</v>
      </c>
      <c r="F17" s="17" t="s">
        <v>615</v>
      </c>
    </row>
    <row r="18" customFormat="false" ht="15" hidden="false" customHeight="false" outlineLevel="0" collapsed="false">
      <c r="B18" s="4" t="s">
        <v>629</v>
      </c>
      <c r="C18" s="49" t="n">
        <f aca="false">CF!M40-BS!M9</f>
        <v>0</v>
      </c>
      <c r="D18" s="74" t="n">
        <v>0</v>
      </c>
      <c r="E18" s="75" t="str">
        <f aca="false">IF(ABS(C18)&lt;=D18+0.000000001,"OK","CHECK")</f>
        <v>OK</v>
      </c>
      <c r="F18" s="17" t="s">
        <v>615</v>
      </c>
    </row>
    <row r="19" customFormat="false" ht="15" hidden="false" customHeight="false" outlineLevel="0" collapsed="false">
      <c r="B19" s="4" t="s">
        <v>630</v>
      </c>
      <c r="C19" s="49" t="n">
        <f aca="false">CF!N40-BS!N9</f>
        <v>0</v>
      </c>
      <c r="D19" s="74" t="n">
        <v>0</v>
      </c>
      <c r="E19" s="75" t="str">
        <f aca="false">IF(ABS(C19)&lt;=D19+0.000000001,"OK","CHECK")</f>
        <v>OK</v>
      </c>
      <c r="F19" s="17" t="s">
        <v>615</v>
      </c>
    </row>
    <row r="20" customFormat="false" ht="15" hidden="false" customHeight="false" outlineLevel="0" collapsed="false">
      <c r="B20" s="4" t="s">
        <v>631</v>
      </c>
      <c r="C20" s="49" t="n">
        <f aca="false">CF!O40-BS!O9</f>
        <v>0</v>
      </c>
      <c r="D20" s="74" t="n">
        <v>0</v>
      </c>
      <c r="E20" s="75" t="str">
        <f aca="false">IF(ABS(C20)&lt;=D20+0.000000001,"OK","CHECK")</f>
        <v>OK</v>
      </c>
      <c r="F20" s="17" t="s">
        <v>615</v>
      </c>
    </row>
    <row r="21" customFormat="false" ht="15" hidden="false" customHeight="false" outlineLevel="0" collapsed="false">
      <c r="B21" s="4" t="s">
        <v>632</v>
      </c>
      <c r="C21" s="49" t="n">
        <f aca="false">ABS(IS!D38)+ABS(IS!E38)+ABS(IS!F38)+ABS(IS!G38)+ABS(IS!H38)+ABS(IS!I38)</f>
        <v>0</v>
      </c>
      <c r="D21" s="74" t="n">
        <v>3</v>
      </c>
      <c r="E21" s="75" t="str">
        <f aca="false">IF(ABS(C21)&lt;=D21+0.000000001,"OK","CHECK")</f>
        <v>OK</v>
      </c>
      <c r="F21" s="17" t="s">
        <v>633</v>
      </c>
    </row>
    <row r="22" customFormat="false" ht="15" hidden="false" customHeight="false" outlineLevel="0" collapsed="false">
      <c r="B22" s="4" t="s">
        <v>634</v>
      </c>
      <c r="C22" s="49" t="n">
        <f aca="false">ABS(IS!D40)+ABS(IS!E40)+ABS(IS!F40)+ABS(IS!G40)+ABS(IS!H40)+ABS(IS!I40)</f>
        <v>0</v>
      </c>
      <c r="D22" s="74" t="n">
        <v>3</v>
      </c>
      <c r="E22" s="75" t="str">
        <f aca="false">IF(ABS(C22)&lt;=D22+0.000000001,"OK","CHECK")</f>
        <v>OK</v>
      </c>
      <c r="F22" s="17" t="s">
        <v>633</v>
      </c>
    </row>
    <row r="23" customFormat="false" ht="15" hidden="false" customHeight="false" outlineLevel="0" collapsed="false">
      <c r="B23" s="4" t="s">
        <v>635</v>
      </c>
      <c r="C23" s="49" t="n">
        <f aca="false">ABS(IS!D42)+ABS(IS!E42)+ABS(IS!F42)+ABS(IS!G42)+ABS(IS!H42)+ABS(IS!I42)</f>
        <v>0</v>
      </c>
      <c r="D23" s="74" t="n">
        <v>3</v>
      </c>
      <c r="E23" s="75" t="str">
        <f aca="false">IF(ABS(C23)&lt;=D23+0.000000001,"OK","CHECK")</f>
        <v>OK</v>
      </c>
      <c r="F23" s="17" t="s">
        <v>633</v>
      </c>
    </row>
    <row r="24" customFormat="false" ht="15" hidden="false" customHeight="false" outlineLevel="0" collapsed="false">
      <c r="B24" s="4" t="s">
        <v>636</v>
      </c>
      <c r="C24" s="49" t="n">
        <f aca="false">ABS(IS!D44)+ABS(IS!E44)+ABS(IS!F44)+ABS(IS!G44)+ABS(IS!H44)+ABS(IS!I44)</f>
        <v>0</v>
      </c>
      <c r="D24" s="74" t="n">
        <v>3</v>
      </c>
      <c r="E24" s="75" t="str">
        <f aca="false">IF(ABS(C24)&lt;=D24+0.000000001,"OK","CHECK")</f>
        <v>OK</v>
      </c>
      <c r="F24" s="17" t="s">
        <v>633</v>
      </c>
    </row>
    <row r="25" customFormat="false" ht="15" hidden="false" customHeight="false" outlineLevel="0" collapsed="false">
      <c r="B25" s="4" t="s">
        <v>637</v>
      </c>
      <c r="C25" s="49" t="n">
        <f aca="false">MAX(ABS(MIN(IS!D46:IS46)),ABS(MAX(IS!D46:IS46)))</f>
        <v>0.00330219810434329</v>
      </c>
      <c r="D25" s="74" t="n">
        <v>0.006</v>
      </c>
      <c r="E25" s="75" t="str">
        <f aca="false">IF(ABS(C25)&lt;=D25+0.000000001,"OK","CHECK")</f>
        <v>OK</v>
      </c>
      <c r="F25" s="17" t="s">
        <v>638</v>
      </c>
    </row>
    <row r="26" customFormat="false" ht="15" hidden="false" customHeight="false" outlineLevel="0" collapsed="false">
      <c r="B26" s="4" t="s">
        <v>639</v>
      </c>
      <c r="C26" s="49" t="n">
        <f aca="false">ABS(BS!D50)+ABS(BS!E50)+ABS(BS!F50)+ABS(BS!G50)+ABS(BS!H50)+ABS(BS!I50)</f>
        <v>0</v>
      </c>
      <c r="D26" s="74" t="n">
        <v>3</v>
      </c>
      <c r="E26" s="75" t="str">
        <f aca="false">IF(ABS(C26)&lt;=D26+0.000000001,"OK","CHECK")</f>
        <v>OK</v>
      </c>
      <c r="F26" s="17" t="s">
        <v>640</v>
      </c>
    </row>
    <row r="27" customFormat="false" ht="15" hidden="false" customHeight="false" outlineLevel="0" collapsed="false">
      <c r="B27" s="4" t="s">
        <v>641</v>
      </c>
      <c r="C27" s="49" t="n">
        <f aca="false">ABS(BS!D52)+ABS(BS!E52)+ABS(BS!F52)+ABS(BS!G52)+ABS(BS!H52)+ABS(BS!I52)</f>
        <v>0</v>
      </c>
      <c r="D27" s="74" t="n">
        <v>3</v>
      </c>
      <c r="E27" s="75" t="str">
        <f aca="false">IF(ABS(C27)&lt;=D27+0.000000001,"OK","CHECK")</f>
        <v>OK</v>
      </c>
      <c r="F27" s="17" t="s">
        <v>640</v>
      </c>
    </row>
    <row r="28" customFormat="false" ht="15" hidden="false" customHeight="false" outlineLevel="0" collapsed="false">
      <c r="B28" s="4" t="s">
        <v>642</v>
      </c>
      <c r="C28" s="49" t="n">
        <f aca="false">ABS(BS!D54)+ABS(BS!E54)+ABS(BS!F54)+ABS(BS!G54)+ABS(BS!H54)+ABS(BS!I54)</f>
        <v>0</v>
      </c>
      <c r="D28" s="74" t="n">
        <v>3</v>
      </c>
      <c r="E28" s="75" t="str">
        <f aca="false">IF(ABS(C28)&lt;=D28+0.000000001,"OK","CHECK")</f>
        <v>OK</v>
      </c>
      <c r="F28" s="17" t="s">
        <v>640</v>
      </c>
    </row>
    <row r="29" customFormat="false" ht="15" hidden="false" customHeight="false" outlineLevel="0" collapsed="false">
      <c r="B29" s="4" t="s">
        <v>643</v>
      </c>
      <c r="C29" s="49" t="n">
        <f aca="false">ABS(CF!D47)+ABS(CF!E47)+ABS(CF!F47)+ABS(CF!G47)+ABS(CF!H47)+ABS(CF!I47)</f>
        <v>0</v>
      </c>
      <c r="D29" s="74" t="n">
        <v>3</v>
      </c>
      <c r="E29" s="75" t="str">
        <f aca="false">IF(ABS(C29)&lt;=D29+0.000000001,"OK","CHECK")</f>
        <v>OK</v>
      </c>
      <c r="F29" s="17" t="s">
        <v>621</v>
      </c>
    </row>
    <row r="30" customFormat="false" ht="15" hidden="false" customHeight="false" outlineLevel="0" collapsed="false">
      <c r="B30" s="4" t="s">
        <v>644</v>
      </c>
      <c r="C30" s="49" t="n">
        <f aca="false">ABS(CF!D49)+ABS(CF!E49)+ABS(CF!F49)+ABS(CF!G49)+ABS(CF!H49)+ABS(CF!I49)</f>
        <v>0</v>
      </c>
      <c r="D30" s="74" t="n">
        <v>3</v>
      </c>
      <c r="E30" s="75" t="str">
        <f aca="false">IF(ABS(C30)&lt;=D30+0.000000001,"OK","CHECK")</f>
        <v>OK</v>
      </c>
      <c r="F30" s="17" t="s">
        <v>621</v>
      </c>
    </row>
    <row r="31" customFormat="false" ht="15" hidden="false" customHeight="false" outlineLevel="0" collapsed="false">
      <c r="B31" s="4" t="s">
        <v>645</v>
      </c>
      <c r="C31" s="49" t="n">
        <f aca="false">ABS(CF!D51)+ABS(CF!E51)+ABS(CF!F51)+ABS(CF!G51)+ABS(CF!H51)+ABS(CF!I51)</f>
        <v>0</v>
      </c>
      <c r="D31" s="74" t="n">
        <v>3</v>
      </c>
      <c r="E31" s="75" t="str">
        <f aca="false">IF(ABS(C31)&lt;=D31+0.000000001,"OK","CHECK")</f>
        <v>OK</v>
      </c>
      <c r="F31" s="17" t="s">
        <v>621</v>
      </c>
    </row>
    <row r="32" customFormat="false" ht="15" hidden="false" customHeight="false" outlineLevel="0" collapsed="false">
      <c r="B32" s="4" t="s">
        <v>646</v>
      </c>
      <c r="C32" s="49" t="n">
        <f aca="false">ABS(CF!D53)+ABS(CF!E53)+ABS(CF!F53)+ABS(CF!G53)+ABS(CF!H53)+ABS(CF!I53)</f>
        <v>0</v>
      </c>
      <c r="D32" s="74" t="n">
        <v>3</v>
      </c>
      <c r="E32" s="75" t="str">
        <f aca="false">IF(ABS(C32)&lt;=D32+0.000000001,"OK","CHECK")</f>
        <v>OK</v>
      </c>
      <c r="F32" s="17" t="s">
        <v>621</v>
      </c>
    </row>
    <row r="33" customFormat="false" ht="15" hidden="false" customHeight="false" outlineLevel="0" collapsed="false">
      <c r="B33" s="4" t="s">
        <v>647</v>
      </c>
      <c r="C33" s="49" t="n">
        <f aca="false">ABS(CF!D40-BS!D9)+ABS(CF!E40-BS!E9)+ABS(CF!F40-BS!F9)+ABS(CF!G40-BS!G9)+ABS(CF!H40-BS!H9)+ABS(CF!I40-BS!I9)</f>
        <v>0</v>
      </c>
      <c r="D33" s="74" t="n">
        <v>0.5</v>
      </c>
      <c r="E33" s="75" t="str">
        <f aca="false">IF(ABS(C33)&lt;=D33+0.000000001,"OK","CHECK")</f>
        <v>OK</v>
      </c>
      <c r="F33" s="17" t="s">
        <v>621</v>
      </c>
    </row>
    <row r="34" customFormat="false" ht="15" hidden="false" customHeight="false" outlineLevel="0" collapsed="false">
      <c r="B34" s="4" t="s">
        <v>648</v>
      </c>
      <c r="C34" s="49" t="n">
        <f aca="false">ABS(Quarterly!I18)+ABS(Quarterly!M18)</f>
        <v>0</v>
      </c>
      <c r="D34" s="74" t="n">
        <v>0.5</v>
      </c>
      <c r="E34" s="75" t="str">
        <f aca="false">IF(ABS(C34)&lt;=D34+0.000000001,"OK","CHECK")</f>
        <v>OK</v>
      </c>
      <c r="F34" s="17" t="s">
        <v>621</v>
      </c>
    </row>
    <row r="35" customFormat="false" ht="15" hidden="false" customHeight="false" outlineLevel="0" collapsed="false">
      <c r="B35" s="4" t="s">
        <v>649</v>
      </c>
      <c r="C35" s="49" t="n">
        <f aca="false">IS!J8-(IS!G8+IS!I8-IS!H8)</f>
        <v>0</v>
      </c>
      <c r="D35" s="74" t="n">
        <v>0</v>
      </c>
      <c r="E35" s="75" t="str">
        <f aca="false">IF(ABS(C35)&lt;=D35+0.000000001,"OK","CHECK")</f>
        <v>OK</v>
      </c>
      <c r="F35" s="17" t="s">
        <v>650</v>
      </c>
    </row>
    <row r="36" customFormat="false" ht="15" hidden="false" customHeight="false" outlineLevel="0" collapsed="false">
      <c r="B36" s="4" t="s">
        <v>651</v>
      </c>
      <c r="C36" s="49" t="n">
        <f aca="false">ABS('Revenue &amp; WC build'!K12-IS!K8)+ABS('Revenue &amp; WC build'!L12-IS!L8)+ABS('Revenue &amp; WC build'!M12-IS!M8)+ABS('Revenue &amp; WC build'!N12-IS!N8)+ABS('Revenue &amp; WC build'!O12-IS!O8)</f>
        <v>0</v>
      </c>
      <c r="D36" s="74" t="n">
        <v>0</v>
      </c>
      <c r="E36" s="75" t="str">
        <f aca="false">IF(ABS(C36)&lt;=D36+0.000000001,"OK","CHECK")</f>
        <v>OK</v>
      </c>
      <c r="F36" s="17" t="s">
        <v>650</v>
      </c>
    </row>
    <row r="37" customFormat="false" ht="15" hidden="false" customHeight="false" outlineLevel="0" collapsed="false">
      <c r="B37" s="4" t="s">
        <v>652</v>
      </c>
      <c r="C37" s="49" t="n">
        <f aca="false">MIN(0,MIN(Debt!K12:O12))</f>
        <v>0</v>
      </c>
      <c r="D37" s="74" t="n">
        <v>0</v>
      </c>
      <c r="E37" s="75" t="str">
        <f aca="false">IF(ABS(C37)&lt;=D37+0.000000001,"OK","CHECK")</f>
        <v>OK</v>
      </c>
      <c r="F37" s="17" t="s">
        <v>650</v>
      </c>
    </row>
    <row r="38" customFormat="false" ht="15" hidden="false" customHeight="false" outlineLevel="0" collapsed="false">
      <c r="B38" s="4" t="s">
        <v>653</v>
      </c>
      <c r="C38" s="49" t="n">
        <f aca="false">MIN(0,MIN(Debt!K13:O13))</f>
        <v>0</v>
      </c>
      <c r="D38" s="74" t="n">
        <v>0</v>
      </c>
      <c r="E38" s="75" t="str">
        <f aca="false">IF(ABS(C38)&lt;=D38+0.000000001,"OK","CHECK")</f>
        <v>OK</v>
      </c>
      <c r="F38" s="17" t="s">
        <v>650</v>
      </c>
    </row>
    <row r="39" customFormat="false" ht="15" hidden="false" customHeight="false" outlineLevel="0" collapsed="false">
      <c r="B39" s="4" t="s">
        <v>654</v>
      </c>
      <c r="C39" s="49" t="n">
        <f aca="false">MIN(0,MIN(BS!K9:BS9)-Inputs!K42)</f>
        <v>0</v>
      </c>
      <c r="D39" s="74" t="n">
        <v>0.001</v>
      </c>
      <c r="E39" s="75" t="str">
        <f aca="false">IF(ABS(C39)&lt;=D39+0.000000001,"OK","CHECK")</f>
        <v>OK</v>
      </c>
      <c r="F39" s="17" t="s">
        <v>650</v>
      </c>
    </row>
    <row r="40" customFormat="false" ht="15" hidden="false" customHeight="false" outlineLevel="0" collapsed="false">
      <c r="B40" s="4" t="s">
        <v>655</v>
      </c>
      <c r="C40" s="49" t="n">
        <f aca="false">Sensitivity!F8-DCF!$D$81</f>
        <v>0</v>
      </c>
      <c r="D40" s="74" t="n">
        <v>0.005</v>
      </c>
      <c r="E40" s="75" t="str">
        <f aca="false">IF(ABS(C40)&lt;=D40+0.000000001,"OK","CHECK")</f>
        <v>OK</v>
      </c>
      <c r="F40" s="17" t="s">
        <v>650</v>
      </c>
    </row>
    <row r="41" customFormat="false" ht="15" hidden="false" customHeight="false" outlineLevel="0" collapsed="false">
      <c r="B41" s="4" t="s">
        <v>656</v>
      </c>
      <c r="C41" s="49" t="n">
        <f aca="false">Sensitivity!F18-DCF!$D$82</f>
        <v>0</v>
      </c>
      <c r="D41" s="74" t="n">
        <v>0.005</v>
      </c>
      <c r="E41" s="75" t="str">
        <f aca="false">IF(ABS(C41)&lt;=D41+0.000000001,"OK","CHECK")</f>
        <v>OK</v>
      </c>
      <c r="F41" s="17" t="s">
        <v>650</v>
      </c>
    </row>
    <row r="42" customFormat="false" ht="15" hidden="false" customHeight="false" outlineLevel="0" collapsed="false">
      <c r="B42" s="4" t="s">
        <v>657</v>
      </c>
      <c r="C42" s="49" t="n">
        <f aca="false">Sensitivity!F28-DCF!$D$81</f>
        <v>0</v>
      </c>
      <c r="D42" s="74" t="n">
        <v>0.005</v>
      </c>
      <c r="E42" s="75" t="str">
        <f aca="false">IF(ABS(C42)&lt;=D42+0.000000001,"OK","CHECK")</f>
        <v>OK</v>
      </c>
      <c r="F42" s="17" t="s">
        <v>650</v>
      </c>
    </row>
    <row r="43" customFormat="false" ht="15" hidden="false" customHeight="false" outlineLevel="0" collapsed="false">
      <c r="B43" s="4" t="s">
        <v>658</v>
      </c>
      <c r="C43" s="49" t="n">
        <f aca="false">IF(COUNT(DCF!$D$47,DCF!$D$50)&lt;2,0,MIN(0,DCF!$D$47-DCF!$D$50-0.01))</f>
        <v>0</v>
      </c>
      <c r="D43" s="74" t="n">
        <v>0</v>
      </c>
      <c r="E43" s="75" t="str">
        <f aca="false">IF(ABS(C43)&lt;=D43+0.000000001,"OK","CHECK")</f>
        <v>OK</v>
      </c>
      <c r="F43" s="17" t="s">
        <v>659</v>
      </c>
    </row>
    <row r="45" customFormat="false" ht="15" hidden="false" customHeight="false" outlineLevel="0" collapsed="false">
      <c r="B45" s="3" t="s">
        <v>660</v>
      </c>
      <c r="E45" s="76" t="str">
        <f aca="false">IF(COUNTIF(E5:E43,"OK")=39,"ALL CHECKS OK","CHECK FAILURES: "&amp;(39-COUNTIF(E5:E43,"OK")))</f>
        <v>ALL CHECKS OK</v>
      </c>
    </row>
  </sheetData>
  <conditionalFormatting sqref="E5:E45">
    <cfRule type="expression" priority="2" aboveAverage="0" equalAverage="0" bottom="0" percent="0" rank="0" text="" dxfId="0">
      <formula>ISNUMBER(SEARCH("CHECK",E5))</formula>
    </cfRule>
    <cfRule type="expression" priority="3" aboveAverage="0" equalAverage="0" bottom="0" percent="0" rank="0" text="" dxfId="1">
      <formula>ISNUMBER(SEARCH("OK",E5))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78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80"/>
  </cols>
  <sheetData>
    <row r="1" customFormat="false" ht="17.35" hidden="false" customHeight="false" outlineLevel="0" collapsed="false">
      <c r="B1" s="9" t="s">
        <v>661</v>
      </c>
    </row>
    <row r="2" customFormat="false" ht="15" hidden="false" customHeight="false" outlineLevel="0" collapsed="false">
      <c r="B2" s="10" t="s">
        <v>662</v>
      </c>
    </row>
    <row r="4" customFormat="false" ht="15" hidden="false" customHeight="false" outlineLevel="0" collapsed="false">
      <c r="B4" s="11" t="s">
        <v>663</v>
      </c>
      <c r="C4" s="11" t="s">
        <v>664</v>
      </c>
      <c r="D4" s="11" t="s">
        <v>665</v>
      </c>
      <c r="E4" s="11" t="s">
        <v>666</v>
      </c>
      <c r="F4" s="11" t="s">
        <v>667</v>
      </c>
    </row>
    <row r="5" customFormat="false" ht="30" hidden="false" customHeight="true" outlineLevel="0" collapsed="false">
      <c r="B5" s="3" t="n">
        <v>1</v>
      </c>
      <c r="C5" s="8" t="s">
        <v>668</v>
      </c>
      <c r="D5" s="77"/>
      <c r="E5" s="3" t="str">
        <f aca="false">IF(ISBLANK(D5),"",IF(ABS(D5-(IS!J8))&lt;=0.5,"Correct","Not yet"))</f>
        <v/>
      </c>
      <c r="F5" s="78" t="s">
        <v>669</v>
      </c>
    </row>
    <row r="6" customFormat="false" ht="30" hidden="false" customHeight="true" outlineLevel="0" collapsed="false">
      <c r="B6" s="3" t="n">
        <v>2</v>
      </c>
      <c r="C6" s="8" t="s">
        <v>670</v>
      </c>
      <c r="D6" s="79"/>
      <c r="E6" s="3" t="str">
        <f aca="false">IF(ISBLANK(D6),"",IF(ABS(D6-(IS!G12))&lt;=0.0005,"Correct","Not yet"))</f>
        <v/>
      </c>
      <c r="F6" s="78" t="s">
        <v>671</v>
      </c>
    </row>
    <row r="7" customFormat="false" ht="30" hidden="false" customHeight="true" outlineLevel="0" collapsed="false">
      <c r="B7" s="3" t="n">
        <v>3</v>
      </c>
      <c r="C7" s="8" t="s">
        <v>672</v>
      </c>
      <c r="D7" s="77"/>
      <c r="E7" s="3" t="str">
        <f aca="false">IF(ISBLANK(D7),"",IF(ABS(D7-(IS!G33))&lt;=0.5,"Correct","Not yet"))</f>
        <v/>
      </c>
      <c r="F7" s="78" t="s">
        <v>673</v>
      </c>
    </row>
    <row r="8" customFormat="false" ht="30" hidden="false" customHeight="true" outlineLevel="0" collapsed="false">
      <c r="B8" s="3" t="n">
        <v>4</v>
      </c>
      <c r="C8" s="8" t="s">
        <v>674</v>
      </c>
      <c r="D8" s="77"/>
      <c r="E8" s="3" t="str">
        <f aca="false">IF(ISBLANK(D8),"",IF(ABS(D8-('Revenue &amp; WC build'!G22))&lt;=0.5,"Correct","Not yet"))</f>
        <v/>
      </c>
      <c r="F8" s="78" t="s">
        <v>675</v>
      </c>
    </row>
    <row r="9" customFormat="false" ht="30" hidden="false" customHeight="true" outlineLevel="0" collapsed="false">
      <c r="B9" s="3" t="n">
        <v>5</v>
      </c>
      <c r="C9" s="8" t="s">
        <v>676</v>
      </c>
      <c r="D9" s="77"/>
      <c r="E9" s="3" t="str">
        <f aca="false">IF(ISBLANK(D9),"",IF(ABS(D9-(BS!I12-BS!G12))&lt;=0.5,"Correct","Not yet"))</f>
        <v/>
      </c>
      <c r="F9" s="78" t="s">
        <v>677</v>
      </c>
    </row>
    <row r="10" customFormat="false" ht="30" hidden="false" customHeight="true" outlineLevel="0" collapsed="false">
      <c r="B10" s="3" t="n">
        <v>6</v>
      </c>
      <c r="C10" s="8" t="s">
        <v>678</v>
      </c>
      <c r="D10" s="79"/>
      <c r="E10" s="3" t="str">
        <f aca="false">IF(ISBLANK(D10),"",IF(ABS(D10-(IS!G21/IS!G20))&lt;=0.0005,"Correct","Not yet"))</f>
        <v/>
      </c>
      <c r="F10" s="78" t="s">
        <v>679</v>
      </c>
    </row>
    <row r="11" customFormat="false" ht="30" hidden="false" customHeight="true" outlineLevel="0" collapsed="false">
      <c r="B11" s="3" t="n">
        <v>7</v>
      </c>
      <c r="C11" s="8" t="s">
        <v>680</v>
      </c>
      <c r="D11" s="80"/>
      <c r="E11" s="3" t="str">
        <f aca="false">IF(ISBLANK(D11),"",IF(ABS(D11-(IS!G28))&lt;=0.006,"Correct","Not yet"))</f>
        <v/>
      </c>
      <c r="F11" s="78" t="s">
        <v>681</v>
      </c>
    </row>
    <row r="12" customFormat="false" ht="30" hidden="false" customHeight="true" outlineLevel="0" collapsed="false">
      <c r="B12" s="3" t="n">
        <v>8</v>
      </c>
      <c r="C12" s="8" t="s">
        <v>682</v>
      </c>
      <c r="D12" s="81"/>
      <c r="E12" s="3" t="str">
        <f aca="false">IF(ISBLANK(D12),"",IF(ABS(D12-(CF!G43))&lt;=0.005,"Correct","Not yet"))</f>
        <v/>
      </c>
      <c r="F12" s="78" t="s">
        <v>683</v>
      </c>
    </row>
    <row r="13" customFormat="false" ht="30" hidden="false" customHeight="true" outlineLevel="0" collapsed="false">
      <c r="B13" s="3" t="n">
        <v>9</v>
      </c>
      <c r="C13" s="8" t="s">
        <v>684</v>
      </c>
      <c r="D13" s="81"/>
      <c r="E13" s="3" t="str">
        <f aca="false">IF(ISBLANK(D13),"",IF(ABS(D13-(0.94/(1+(1-0.25)*0.32)))&lt;=0.005,"Correct","Not yet"))</f>
        <v/>
      </c>
      <c r="F13" s="78" t="s">
        <v>685</v>
      </c>
    </row>
    <row r="14" customFormat="false" ht="30" hidden="false" customHeight="true" outlineLevel="0" collapsed="false">
      <c r="B14" s="3" t="n">
        <v>10</v>
      </c>
      <c r="C14" s="8" t="s">
        <v>686</v>
      </c>
      <c r="D14" s="77"/>
      <c r="E14" s="3" t="str">
        <f aca="false">IF(ISBLANK(D14),"",IF(ABS(D14-(0.15*12000))&lt;=0.5,"Correct","Not yet"))</f>
        <v/>
      </c>
      <c r="F14" s="78" t="s">
        <v>687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Watsco (WSO) · Advanced · Practice use only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2026-10-12T04:29:00Z</dcterms:created>
  <dc:creator>openpyxl</dc:creator>
  <dc:description/>
  <dc:language>en-US</dc:language>
  <cp:lastModifiedBy/>
  <dcterms:modified xsi:type="dcterms:W3CDTF">2026-10-12T04:29:00Z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